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600" yWindow="480" windowWidth="19095" windowHeight="11160" tabRatio="761" firstSheet="2" activeTab="4"/>
  </bookViews>
  <sheets>
    <sheet name="Приложение 1" sheetId="7" r:id="rId1"/>
    <sheet name="Приложение 2" sheetId="5" r:id="rId2"/>
    <sheet name="Приложение 3" sheetId="6" r:id="rId3"/>
    <sheet name="Приложение 1 КСП 2018-2019 гг" sheetId="9" r:id="rId4"/>
    <sheet name="Приложение 2 КСП 2018-2019 гг" sheetId="10" r:id="rId5"/>
    <sheet name="Приложение 3 КСП 2018-2019 гг" sheetId="11" r:id="rId6"/>
  </sheets>
  <definedNames>
    <definedName name="_GoBack" localSheetId="0">'Приложение 1'!#REF!</definedName>
    <definedName name="_GoBack" localSheetId="3">'Приложение 1 КСП 2018-2019 гг'!#REF!</definedName>
    <definedName name="_xlnm._FilterDatabase" localSheetId="0" hidden="1">'Приложение 1'!$A$11:$V$357</definedName>
    <definedName name="_xlnm._FilterDatabase" localSheetId="3" hidden="1">'Приложение 1 КСП 2018-2019 гг'!$A$9:$V$690</definedName>
    <definedName name="_xlnm._FilterDatabase" localSheetId="1" hidden="1">'Приложение 2'!$A$13:$X$359</definedName>
    <definedName name="_xlnm._FilterDatabase" localSheetId="4" hidden="1">'Приложение 2 КСП 2018-2019 гг'!$A$11:$AN$692</definedName>
    <definedName name="_xlnm._FilterDatabase" localSheetId="2" hidden="1">'Приложение 3'!$A$8:$S$55</definedName>
    <definedName name="_xlnm.Print_Area" localSheetId="0">'Приложение 1'!$A$3:$U$359</definedName>
    <definedName name="_xlnm.Print_Area" localSheetId="3">'Приложение 1 КСП 2018-2019 гг'!$A$3:$S$690</definedName>
    <definedName name="_xlnm.Print_Area" localSheetId="1">'Приложение 2'!$A$3:$W$365</definedName>
    <definedName name="_xlnm.Print_Area" localSheetId="4">'Приложение 2 КСП 2018-2019 гг'!$A$1:$AN$699</definedName>
    <definedName name="_xlnm.Print_Area" localSheetId="2">'Приложение 3'!$A$1:$O$61</definedName>
    <definedName name="_xlnm.Print_Area" localSheetId="5">'Приложение 3 КСП 2018-2019 гг'!$A$1:$H$90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4519"/>
</workbook>
</file>

<file path=xl/calcChain.xml><?xml version="1.0" encoding="utf-8"?>
<calcChain xmlns="http://schemas.openxmlformats.org/spreadsheetml/2006/main">
  <c r="X693" i="10"/>
  <c r="Y693"/>
  <c r="Z693"/>
  <c r="AA693"/>
  <c r="AB693"/>
  <c r="AC693"/>
  <c r="AD693"/>
  <c r="AE693"/>
  <c r="AF693"/>
  <c r="AG693"/>
  <c r="AH693"/>
  <c r="AI693"/>
  <c r="AJ693"/>
  <c r="AK693"/>
  <c r="W693"/>
  <c r="H693"/>
  <c r="G693"/>
  <c r="AK672"/>
  <c r="AJ672"/>
  <c r="AI672"/>
  <c r="AB672"/>
  <c r="AA672"/>
  <c r="Z672"/>
  <c r="Y672"/>
  <c r="X672"/>
  <c r="W672"/>
  <c r="U672"/>
  <c r="S672"/>
  <c r="Q672"/>
  <c r="O672"/>
  <c r="M672"/>
  <c r="K672"/>
  <c r="I672"/>
  <c r="H672"/>
  <c r="G672"/>
  <c r="G344"/>
  <c r="K691" i="9"/>
  <c r="M691"/>
  <c r="N691"/>
  <c r="O691"/>
  <c r="Q691"/>
  <c r="R691"/>
  <c r="J691"/>
  <c r="I691"/>
  <c r="L670"/>
  <c r="P670" s="1"/>
  <c r="F8" i="11"/>
  <c r="D8"/>
  <c r="C46"/>
  <c r="AK694" i="10"/>
  <c r="AJ694"/>
  <c r="X694"/>
  <c r="W694"/>
  <c r="G694"/>
  <c r="K692" i="9"/>
  <c r="J692"/>
  <c r="I692"/>
  <c r="M56" i="6"/>
  <c r="N56" s="1"/>
  <c r="I56"/>
  <c r="D56"/>
  <c r="C56"/>
  <c r="U360" i="5"/>
  <c r="L360"/>
  <c r="I360"/>
  <c r="F360"/>
  <c r="E360"/>
  <c r="R358" i="7"/>
  <c r="N358"/>
  <c r="M358"/>
  <c r="L358"/>
  <c r="K358"/>
  <c r="J358"/>
  <c r="W528" i="10" l="1"/>
  <c r="K197" i="9"/>
  <c r="M197"/>
  <c r="N197"/>
  <c r="O197"/>
  <c r="Q197"/>
  <c r="R197"/>
  <c r="I197"/>
  <c r="AK198" i="10"/>
  <c r="AJ198"/>
  <c r="X198"/>
  <c r="AC199"/>
  <c r="Z199"/>
  <c r="Y199"/>
  <c r="W199"/>
  <c r="AA199"/>
  <c r="AB199"/>
  <c r="AD199"/>
  <c r="AE199"/>
  <c r="AF199"/>
  <c r="AG199"/>
  <c r="AH199"/>
  <c r="AI199"/>
  <c r="AJ199"/>
  <c r="AK199"/>
  <c r="AL199"/>
  <c r="U199"/>
  <c r="I199"/>
  <c r="J199"/>
  <c r="K199"/>
  <c r="L199"/>
  <c r="M199"/>
  <c r="N199"/>
  <c r="O199"/>
  <c r="P199"/>
  <c r="Q199"/>
  <c r="R199"/>
  <c r="S199"/>
  <c r="T199"/>
  <c r="H198"/>
  <c r="AK525"/>
  <c r="AJ525"/>
  <c r="X525"/>
  <c r="M492" i="9"/>
  <c r="K492"/>
  <c r="I492"/>
  <c r="I501"/>
  <c r="N492"/>
  <c r="O492"/>
  <c r="Q492"/>
  <c r="R492"/>
  <c r="J491"/>
  <c r="G503" i="10"/>
  <c r="AC494"/>
  <c r="AD494"/>
  <c r="AE494"/>
  <c r="AF494"/>
  <c r="AG494"/>
  <c r="AH494"/>
  <c r="AL494"/>
  <c r="AB494"/>
  <c r="AA494"/>
  <c r="Z494"/>
  <c r="Y494"/>
  <c r="W494"/>
  <c r="T494"/>
  <c r="AK493"/>
  <c r="AJ493"/>
  <c r="X493"/>
  <c r="G198" l="1"/>
  <c r="X199"/>
  <c r="L196" i="9"/>
  <c r="P196" s="1"/>
  <c r="G493" i="10"/>
  <c r="L491" i="9" l="1"/>
  <c r="P491" s="1"/>
  <c r="AK386" i="10" l="1"/>
  <c r="AJ386"/>
  <c r="AI386" l="1"/>
  <c r="O386"/>
  <c r="I386"/>
  <c r="K383"/>
  <c r="M124"/>
  <c r="H124" s="1"/>
  <c r="H386" l="1"/>
  <c r="AI255"/>
  <c r="M255"/>
  <c r="AI222"/>
  <c r="AI124"/>
  <c r="AI108"/>
  <c r="M108"/>
  <c r="G124" l="1"/>
  <c r="E287" i="5" l="1"/>
  <c r="T340" i="7"/>
  <c r="T133"/>
  <c r="T96"/>
  <c r="T86"/>
  <c r="T77"/>
  <c r="E343" i="5"/>
  <c r="E136"/>
  <c r="E74"/>
  <c r="E189" l="1"/>
  <c r="T24" i="7" l="1"/>
  <c r="G238" i="10"/>
  <c r="G547"/>
  <c r="G689"/>
  <c r="G692"/>
  <c r="H167"/>
  <c r="G167" s="1"/>
  <c r="AI133" l="1"/>
  <c r="AI125"/>
  <c r="L636" i="9" l="1"/>
  <c r="P636" s="1"/>
  <c r="X639" i="10"/>
  <c r="AK65"/>
  <c r="AJ65"/>
  <c r="AI65"/>
  <c r="O65"/>
  <c r="K65"/>
  <c r="I159" i="9"/>
  <c r="AJ160" i="10"/>
  <c r="AJ159"/>
  <c r="AJ158"/>
  <c r="AK160"/>
  <c r="X160"/>
  <c r="Y161"/>
  <c r="AK159"/>
  <c r="AK158"/>
  <c r="X159"/>
  <c r="X158"/>
  <c r="J161"/>
  <c r="L161"/>
  <c r="N161"/>
  <c r="P161"/>
  <c r="R161"/>
  <c r="T161"/>
  <c r="W161"/>
  <c r="Z161"/>
  <c r="AA161"/>
  <c r="AC161"/>
  <c r="AD161"/>
  <c r="AE161"/>
  <c r="AF161"/>
  <c r="AG161"/>
  <c r="AH161"/>
  <c r="AL161"/>
  <c r="H158"/>
  <c r="H159"/>
  <c r="H160"/>
  <c r="J159" i="9"/>
  <c r="K159"/>
  <c r="M159"/>
  <c r="N159"/>
  <c r="O159"/>
  <c r="Q159"/>
  <c r="R159"/>
  <c r="H65" i="10" l="1"/>
  <c r="G65" s="1"/>
  <c r="G159"/>
  <c r="G158"/>
  <c r="G160"/>
  <c r="H133"/>
  <c r="G133" s="1"/>
  <c r="H125"/>
  <c r="G125" s="1"/>
  <c r="Q62"/>
  <c r="I157"/>
  <c r="E19" i="5"/>
  <c r="N16" i="7" s="1"/>
  <c r="L158" i="9" l="1"/>
  <c r="P158" s="1"/>
  <c r="L157"/>
  <c r="P157" s="1"/>
  <c r="L156"/>
  <c r="P156" s="1"/>
  <c r="F18" i="5" l="1"/>
  <c r="G18"/>
  <c r="H18"/>
  <c r="I18"/>
  <c r="M18"/>
  <c r="N18"/>
  <c r="O18"/>
  <c r="P18"/>
  <c r="Q18"/>
  <c r="R18"/>
  <c r="S18"/>
  <c r="T18"/>
  <c r="U18"/>
  <c r="V18"/>
  <c r="L131" i="7"/>
  <c r="M131"/>
  <c r="O131"/>
  <c r="P131"/>
  <c r="Q131"/>
  <c r="J131"/>
  <c r="E133" i="5"/>
  <c r="N130" i="7" s="1"/>
  <c r="S130" s="1"/>
  <c r="S62" i="10"/>
  <c r="O62"/>
  <c r="H62" l="1"/>
  <c r="R130" i="7"/>
  <c r="E211" i="5"/>
  <c r="J156" i="7" l="1"/>
  <c r="O143"/>
  <c r="P143"/>
  <c r="Q143"/>
  <c r="J143"/>
  <c r="K143"/>
  <c r="L143"/>
  <c r="M143"/>
  <c r="F147" i="5"/>
  <c r="G147"/>
  <c r="H147"/>
  <c r="I147"/>
  <c r="J147"/>
  <c r="K147"/>
  <c r="L147"/>
  <c r="M147"/>
  <c r="N147"/>
  <c r="O147"/>
  <c r="P147"/>
  <c r="Q147"/>
  <c r="R147"/>
  <c r="S147"/>
  <c r="T147"/>
  <c r="U147"/>
  <c r="V147"/>
  <c r="F135"/>
  <c r="G135"/>
  <c r="H135"/>
  <c r="I135"/>
  <c r="J135"/>
  <c r="L135"/>
  <c r="M135"/>
  <c r="N135"/>
  <c r="O135"/>
  <c r="P135"/>
  <c r="Q135"/>
  <c r="R135"/>
  <c r="S135"/>
  <c r="T135"/>
  <c r="U135"/>
  <c r="V135"/>
  <c r="AB164" i="10" l="1"/>
  <c r="X168"/>
  <c r="E132" i="5"/>
  <c r="N129" i="7" s="1"/>
  <c r="R129" l="1"/>
  <c r="S129"/>
  <c r="AJ168" i="10"/>
  <c r="AK168"/>
  <c r="AJ164"/>
  <c r="AK164"/>
  <c r="AB143"/>
  <c r="AB144"/>
  <c r="J603" i="9"/>
  <c r="K603"/>
  <c r="D66" i="11" s="1"/>
  <c r="M603" i="9"/>
  <c r="N603"/>
  <c r="O603"/>
  <c r="Q603"/>
  <c r="R603"/>
  <c r="I603"/>
  <c r="C66" i="11" s="1"/>
  <c r="J611" i="9"/>
  <c r="K611"/>
  <c r="D67" i="11" s="1"/>
  <c r="M611" i="9"/>
  <c r="N611"/>
  <c r="O611"/>
  <c r="Q611"/>
  <c r="R611"/>
  <c r="I611"/>
  <c r="C67" i="11" s="1"/>
  <c r="J615" i="9"/>
  <c r="K615"/>
  <c r="D68" i="11" s="1"/>
  <c r="M615" i="9"/>
  <c r="N615"/>
  <c r="O615"/>
  <c r="Q615"/>
  <c r="R615"/>
  <c r="I615"/>
  <c r="C68" i="11" s="1"/>
  <c r="J618" i="9"/>
  <c r="K618"/>
  <c r="D69" i="11" s="1"/>
  <c r="M618" i="9"/>
  <c r="N618"/>
  <c r="O618"/>
  <c r="Q618"/>
  <c r="R618"/>
  <c r="I618"/>
  <c r="C69" i="11" s="1"/>
  <c r="J622" i="9"/>
  <c r="K622"/>
  <c r="D70" i="11" s="1"/>
  <c r="M622" i="9"/>
  <c r="N622"/>
  <c r="O622"/>
  <c r="Q622"/>
  <c r="R622"/>
  <c r="I622"/>
  <c r="C70" i="11" s="1"/>
  <c r="J627" i="9"/>
  <c r="K627"/>
  <c r="D71" i="11" s="1"/>
  <c r="M627" i="9"/>
  <c r="N627"/>
  <c r="O627"/>
  <c r="Q627"/>
  <c r="R627"/>
  <c r="I627"/>
  <c r="C71" i="11" s="1"/>
  <c r="J630" i="9"/>
  <c r="K630"/>
  <c r="D72" i="11" s="1"/>
  <c r="M630" i="9"/>
  <c r="N630"/>
  <c r="O630"/>
  <c r="Q630"/>
  <c r="R630"/>
  <c r="I630"/>
  <c r="C72" i="11" s="1"/>
  <c r="J634" i="9"/>
  <c r="K634"/>
  <c r="D73" i="11" s="1"/>
  <c r="M634" i="9"/>
  <c r="N634"/>
  <c r="O634"/>
  <c r="Q634"/>
  <c r="R634"/>
  <c r="J638"/>
  <c r="K638"/>
  <c r="D74" i="11" s="1"/>
  <c r="M638" i="9"/>
  <c r="N638"/>
  <c r="O638"/>
  <c r="Q638"/>
  <c r="R638"/>
  <c r="I638"/>
  <c r="C74" i="11" s="1"/>
  <c r="J641" i="9"/>
  <c r="K641"/>
  <c r="D75" i="11" s="1"/>
  <c r="M641" i="9"/>
  <c r="N641"/>
  <c r="O641"/>
  <c r="Q641"/>
  <c r="R641"/>
  <c r="I641"/>
  <c r="C75" i="11" s="1"/>
  <c r="J648" i="9"/>
  <c r="K648"/>
  <c r="D76" i="11" s="1"/>
  <c r="M648" i="9"/>
  <c r="N648"/>
  <c r="O648"/>
  <c r="Q648"/>
  <c r="R648"/>
  <c r="I648"/>
  <c r="C76" i="11" s="1"/>
  <c r="J651" i="9"/>
  <c r="K651"/>
  <c r="D77" i="11" s="1"/>
  <c r="M651" i="9"/>
  <c r="N651"/>
  <c r="O651"/>
  <c r="Q651"/>
  <c r="R651"/>
  <c r="I651"/>
  <c r="C77" i="11" s="1"/>
  <c r="J654" i="9"/>
  <c r="K654"/>
  <c r="D78" i="11" s="1"/>
  <c r="M654" i="9"/>
  <c r="N654"/>
  <c r="O654"/>
  <c r="Q654"/>
  <c r="R654"/>
  <c r="I654"/>
  <c r="C78" i="11" s="1"/>
  <c r="J657" i="9"/>
  <c r="K657"/>
  <c r="D79" i="11" s="1"/>
  <c r="M657" i="9"/>
  <c r="N657"/>
  <c r="O657"/>
  <c r="Q657"/>
  <c r="R657"/>
  <c r="I657"/>
  <c r="C79" i="11" s="1"/>
  <c r="J661" i="9"/>
  <c r="K661"/>
  <c r="D80" i="11" s="1"/>
  <c r="M661" i="9"/>
  <c r="N661"/>
  <c r="O661"/>
  <c r="Q661"/>
  <c r="R661"/>
  <c r="I661"/>
  <c r="C80" i="11" s="1"/>
  <c r="J668" i="9"/>
  <c r="K668"/>
  <c r="D81" i="11" s="1"/>
  <c r="M668" i="9"/>
  <c r="N668"/>
  <c r="O668"/>
  <c r="Q668"/>
  <c r="R668"/>
  <c r="I668"/>
  <c r="C81" i="11" s="1"/>
  <c r="J674" i="9"/>
  <c r="K674"/>
  <c r="D82" i="11" s="1"/>
  <c r="M674" i="9"/>
  <c r="N674"/>
  <c r="O674"/>
  <c r="Q674"/>
  <c r="R674"/>
  <c r="I674"/>
  <c r="C82" i="11" s="1"/>
  <c r="J677" i="9"/>
  <c r="K677"/>
  <c r="D83" i="11" s="1"/>
  <c r="M677" i="9"/>
  <c r="N677"/>
  <c r="O677"/>
  <c r="Q677"/>
  <c r="R677"/>
  <c r="I677"/>
  <c r="C83" i="11" s="1"/>
  <c r="J687" i="9"/>
  <c r="K687"/>
  <c r="D84" i="11" s="1"/>
  <c r="M687" i="9"/>
  <c r="N687"/>
  <c r="O687"/>
  <c r="Q687"/>
  <c r="R687"/>
  <c r="I687"/>
  <c r="C84" i="11" s="1"/>
  <c r="J690" i="9"/>
  <c r="K690"/>
  <c r="D85" i="11" s="1"/>
  <c r="M690" i="9"/>
  <c r="N690"/>
  <c r="O690"/>
  <c r="Q690"/>
  <c r="R690"/>
  <c r="I690"/>
  <c r="C85" i="11" s="1"/>
  <c r="L689" i="9"/>
  <c r="P689" s="1"/>
  <c r="P690" s="1"/>
  <c r="L684"/>
  <c r="P684" s="1"/>
  <c r="L682"/>
  <c r="P682" s="1"/>
  <c r="L680"/>
  <c r="P680" s="1"/>
  <c r="L686"/>
  <c r="P686" s="1"/>
  <c r="L685"/>
  <c r="P685" s="1"/>
  <c r="L683"/>
  <c r="P683" s="1"/>
  <c r="L681"/>
  <c r="P681" s="1"/>
  <c r="L679"/>
  <c r="P679" s="1"/>
  <c r="L676"/>
  <c r="P676" s="1"/>
  <c r="P677" s="1"/>
  <c r="L673"/>
  <c r="P673" s="1"/>
  <c r="L672"/>
  <c r="P672" s="1"/>
  <c r="L671"/>
  <c r="L666"/>
  <c r="P666" s="1"/>
  <c r="L664"/>
  <c r="P664" s="1"/>
  <c r="L667"/>
  <c r="P667" s="1"/>
  <c r="L665"/>
  <c r="P665" s="1"/>
  <c r="L663"/>
  <c r="P663" s="1"/>
  <c r="L660"/>
  <c r="P660" s="1"/>
  <c r="L659"/>
  <c r="P659" s="1"/>
  <c r="L656"/>
  <c r="P656" s="1"/>
  <c r="P657" s="1"/>
  <c r="L650"/>
  <c r="P650" s="1"/>
  <c r="P651" s="1"/>
  <c r="L653"/>
  <c r="P653" s="1"/>
  <c r="P654" s="1"/>
  <c r="L646"/>
  <c r="P646" s="1"/>
  <c r="L644"/>
  <c r="P644" s="1"/>
  <c r="L647"/>
  <c r="P647" s="1"/>
  <c r="L645"/>
  <c r="P645" s="1"/>
  <c r="L643"/>
  <c r="P643" s="1"/>
  <c r="L640"/>
  <c r="P640" s="1"/>
  <c r="P641" s="1"/>
  <c r="L637"/>
  <c r="P637" s="1"/>
  <c r="L633"/>
  <c r="P633" s="1"/>
  <c r="L632"/>
  <c r="P632" s="1"/>
  <c r="L629"/>
  <c r="P629" s="1"/>
  <c r="P630" s="1"/>
  <c r="L626"/>
  <c r="P626" s="1"/>
  <c r="L625"/>
  <c r="P625" s="1"/>
  <c r="L624"/>
  <c r="P624" s="1"/>
  <c r="L621"/>
  <c r="P621" s="1"/>
  <c r="L620"/>
  <c r="P620" s="1"/>
  <c r="L617"/>
  <c r="P617" s="1"/>
  <c r="P618" s="1"/>
  <c r="L614"/>
  <c r="P614" s="1"/>
  <c r="L613"/>
  <c r="P613" s="1"/>
  <c r="L606"/>
  <c r="P606" s="1"/>
  <c r="L607"/>
  <c r="P607" s="1"/>
  <c r="L608"/>
  <c r="P608" s="1"/>
  <c r="L609"/>
  <c r="P609" s="1"/>
  <c r="L610"/>
  <c r="P610" s="1"/>
  <c r="L605"/>
  <c r="P605" s="1"/>
  <c r="L602"/>
  <c r="P602" s="1"/>
  <c r="P603" s="1"/>
  <c r="I627" i="10"/>
  <c r="AK627"/>
  <c r="AJ627"/>
  <c r="M627"/>
  <c r="AB627"/>
  <c r="M626"/>
  <c r="AK628"/>
  <c r="AK626"/>
  <c r="AJ628"/>
  <c r="AJ626"/>
  <c r="M628"/>
  <c r="X604"/>
  <c r="I605"/>
  <c r="J605"/>
  <c r="K605"/>
  <c r="L605"/>
  <c r="M605"/>
  <c r="N605"/>
  <c r="O605"/>
  <c r="P605"/>
  <c r="Q605"/>
  <c r="R605"/>
  <c r="S605"/>
  <c r="T605"/>
  <c r="U605"/>
  <c r="W605"/>
  <c r="Y605"/>
  <c r="Z605"/>
  <c r="AA605"/>
  <c r="AB605"/>
  <c r="AC605"/>
  <c r="AD605"/>
  <c r="AE605"/>
  <c r="AF605"/>
  <c r="AG605"/>
  <c r="AH605"/>
  <c r="AI605"/>
  <c r="AL605"/>
  <c r="G605"/>
  <c r="C605"/>
  <c r="I613"/>
  <c r="J613"/>
  <c r="K613"/>
  <c r="L613"/>
  <c r="M613"/>
  <c r="N613"/>
  <c r="O613"/>
  <c r="P613"/>
  <c r="Q613"/>
  <c r="R613"/>
  <c r="S613"/>
  <c r="T613"/>
  <c r="U613"/>
  <c r="W613"/>
  <c r="Y613"/>
  <c r="Z613"/>
  <c r="AA613"/>
  <c r="AB613"/>
  <c r="AC613"/>
  <c r="AD613"/>
  <c r="AE613"/>
  <c r="AF613"/>
  <c r="AG613"/>
  <c r="AH613"/>
  <c r="AI613"/>
  <c r="AL613"/>
  <c r="AM613"/>
  <c r="AN613"/>
  <c r="G613"/>
  <c r="C613"/>
  <c r="I617"/>
  <c r="J617"/>
  <c r="K617"/>
  <c r="L617"/>
  <c r="M617"/>
  <c r="N617"/>
  <c r="O617"/>
  <c r="P617"/>
  <c r="Q617"/>
  <c r="R617"/>
  <c r="S617"/>
  <c r="T617"/>
  <c r="U617"/>
  <c r="W617"/>
  <c r="Y617"/>
  <c r="Z617"/>
  <c r="AA617"/>
  <c r="AB617"/>
  <c r="AC617"/>
  <c r="AD617"/>
  <c r="AE617"/>
  <c r="AF617"/>
  <c r="AG617"/>
  <c r="AH617"/>
  <c r="AI617"/>
  <c r="AL617"/>
  <c r="G617"/>
  <c r="C617"/>
  <c r="X616"/>
  <c r="I620"/>
  <c r="J620"/>
  <c r="K620"/>
  <c r="L620"/>
  <c r="M620"/>
  <c r="N620"/>
  <c r="O620"/>
  <c r="P620"/>
  <c r="Q620"/>
  <c r="R620"/>
  <c r="S620"/>
  <c r="T620"/>
  <c r="U620"/>
  <c r="W620"/>
  <c r="Y620"/>
  <c r="Z620"/>
  <c r="AA620"/>
  <c r="AB620"/>
  <c r="AC620"/>
  <c r="AD620"/>
  <c r="AE620"/>
  <c r="AF620"/>
  <c r="AG620"/>
  <c r="AH620"/>
  <c r="AI620"/>
  <c r="AL620"/>
  <c r="G620"/>
  <c r="X619"/>
  <c r="C620"/>
  <c r="I624"/>
  <c r="J624"/>
  <c r="K624"/>
  <c r="L624"/>
  <c r="M624"/>
  <c r="N624"/>
  <c r="O624"/>
  <c r="P624"/>
  <c r="Q624"/>
  <c r="R624"/>
  <c r="S624"/>
  <c r="T624"/>
  <c r="U624"/>
  <c r="W624"/>
  <c r="Y624"/>
  <c r="Z624"/>
  <c r="AA624"/>
  <c r="AB624"/>
  <c r="AC624"/>
  <c r="AD624"/>
  <c r="AE624"/>
  <c r="AF624"/>
  <c r="AG624"/>
  <c r="AH624"/>
  <c r="AI624"/>
  <c r="AL624"/>
  <c r="G624"/>
  <c r="C624"/>
  <c r="I629"/>
  <c r="J629"/>
  <c r="K629"/>
  <c r="L629"/>
  <c r="N629"/>
  <c r="O629"/>
  <c r="P629"/>
  <c r="Q629"/>
  <c r="R629"/>
  <c r="S629"/>
  <c r="T629"/>
  <c r="U629"/>
  <c r="W629"/>
  <c r="X629"/>
  <c r="Y629"/>
  <c r="Z629"/>
  <c r="AA629"/>
  <c r="AC629"/>
  <c r="AD629"/>
  <c r="AE629"/>
  <c r="AF629"/>
  <c r="AG629"/>
  <c r="AH629"/>
  <c r="AI629"/>
  <c r="AL629"/>
  <c r="G629"/>
  <c r="C629"/>
  <c r="I632"/>
  <c r="J632"/>
  <c r="K632"/>
  <c r="L632"/>
  <c r="M632"/>
  <c r="N632"/>
  <c r="O632"/>
  <c r="P632"/>
  <c r="Q632"/>
  <c r="R632"/>
  <c r="S632"/>
  <c r="T632"/>
  <c r="U632"/>
  <c r="W632"/>
  <c r="Y632"/>
  <c r="Z632"/>
  <c r="AA632"/>
  <c r="AB632"/>
  <c r="AC632"/>
  <c r="AD632"/>
  <c r="AE632"/>
  <c r="AF632"/>
  <c r="AG632"/>
  <c r="AH632"/>
  <c r="AI632"/>
  <c r="AL632"/>
  <c r="AM632"/>
  <c r="AN632"/>
  <c r="G632"/>
  <c r="C632"/>
  <c r="I636"/>
  <c r="J636"/>
  <c r="K636"/>
  <c r="L636"/>
  <c r="M636"/>
  <c r="N636"/>
  <c r="O636"/>
  <c r="P636"/>
  <c r="Q636"/>
  <c r="R636"/>
  <c r="S636"/>
  <c r="T636"/>
  <c r="U636"/>
  <c r="W636"/>
  <c r="Y636"/>
  <c r="Z636"/>
  <c r="AA636"/>
  <c r="AB636"/>
  <c r="AC636"/>
  <c r="AD636"/>
  <c r="AE636"/>
  <c r="AF636"/>
  <c r="AG636"/>
  <c r="AH636"/>
  <c r="AI636"/>
  <c r="AL636"/>
  <c r="AM636"/>
  <c r="AN636"/>
  <c r="G636"/>
  <c r="C636"/>
  <c r="I640"/>
  <c r="J640"/>
  <c r="K640"/>
  <c r="L640"/>
  <c r="M640"/>
  <c r="N640"/>
  <c r="O640"/>
  <c r="P640"/>
  <c r="Q640"/>
  <c r="R640"/>
  <c r="S640"/>
  <c r="T640"/>
  <c r="U640"/>
  <c r="W640"/>
  <c r="Y640"/>
  <c r="Z640"/>
  <c r="AA640"/>
  <c r="AB640"/>
  <c r="AC640"/>
  <c r="AD640"/>
  <c r="AE640"/>
  <c r="AF640"/>
  <c r="AG640"/>
  <c r="AH640"/>
  <c r="AI640"/>
  <c r="AL640"/>
  <c r="G640"/>
  <c r="C640"/>
  <c r="I643"/>
  <c r="J643"/>
  <c r="K643"/>
  <c r="L643"/>
  <c r="M643"/>
  <c r="N643"/>
  <c r="O643"/>
  <c r="P643"/>
  <c r="Q643"/>
  <c r="R643"/>
  <c r="S643"/>
  <c r="T643"/>
  <c r="U643"/>
  <c r="W643"/>
  <c r="Y643"/>
  <c r="Z643"/>
  <c r="AA643"/>
  <c r="AB643"/>
  <c r="AC643"/>
  <c r="AD643"/>
  <c r="AE643"/>
  <c r="AF643"/>
  <c r="AG643"/>
  <c r="AH643"/>
  <c r="AI643"/>
  <c r="AL643"/>
  <c r="G643"/>
  <c r="C643"/>
  <c r="I650"/>
  <c r="J650"/>
  <c r="K650"/>
  <c r="L650"/>
  <c r="M650"/>
  <c r="N650"/>
  <c r="O650"/>
  <c r="P650"/>
  <c r="Q650"/>
  <c r="R650"/>
  <c r="S650"/>
  <c r="T650"/>
  <c r="U650"/>
  <c r="W650"/>
  <c r="Y650"/>
  <c r="Z650"/>
  <c r="AA650"/>
  <c r="AB650"/>
  <c r="AC650"/>
  <c r="AD650"/>
  <c r="AE650"/>
  <c r="AF650"/>
  <c r="AG650"/>
  <c r="AH650"/>
  <c r="AI650"/>
  <c r="AL650"/>
  <c r="AM650"/>
  <c r="AN650"/>
  <c r="G650"/>
  <c r="C650"/>
  <c r="I653"/>
  <c r="J653"/>
  <c r="K653"/>
  <c r="L653"/>
  <c r="M653"/>
  <c r="N653"/>
  <c r="O653"/>
  <c r="P653"/>
  <c r="Q653"/>
  <c r="R653"/>
  <c r="S653"/>
  <c r="T653"/>
  <c r="U653"/>
  <c r="W653"/>
  <c r="Y653"/>
  <c r="Z653"/>
  <c r="AA653"/>
  <c r="AB653"/>
  <c r="AC653"/>
  <c r="AD653"/>
  <c r="AE653"/>
  <c r="AF653"/>
  <c r="AG653"/>
  <c r="AH653"/>
  <c r="AI653"/>
  <c r="AL653"/>
  <c r="G653"/>
  <c r="C653"/>
  <c r="I656"/>
  <c r="J656"/>
  <c r="K656"/>
  <c r="L656"/>
  <c r="M656"/>
  <c r="N656"/>
  <c r="O656"/>
  <c r="P656"/>
  <c r="Q656"/>
  <c r="R656"/>
  <c r="S656"/>
  <c r="T656"/>
  <c r="U656"/>
  <c r="W656"/>
  <c r="Y656"/>
  <c r="Z656"/>
  <c r="AA656"/>
  <c r="AB656"/>
  <c r="AC656"/>
  <c r="AD656"/>
  <c r="AE656"/>
  <c r="AF656"/>
  <c r="AG656"/>
  <c r="AH656"/>
  <c r="AI656"/>
  <c r="AL656"/>
  <c r="AM656"/>
  <c r="AN656"/>
  <c r="G656"/>
  <c r="C656"/>
  <c r="I659"/>
  <c r="J659"/>
  <c r="K659"/>
  <c r="L659"/>
  <c r="M659"/>
  <c r="N659"/>
  <c r="O659"/>
  <c r="P659"/>
  <c r="Q659"/>
  <c r="R659"/>
  <c r="S659"/>
  <c r="T659"/>
  <c r="U659"/>
  <c r="W659"/>
  <c r="Y659"/>
  <c r="Z659"/>
  <c r="AA659"/>
  <c r="AB659"/>
  <c r="AC659"/>
  <c r="AD659"/>
  <c r="AE659"/>
  <c r="AF659"/>
  <c r="AG659"/>
  <c r="AH659"/>
  <c r="AI659"/>
  <c r="AL659"/>
  <c r="G659"/>
  <c r="C659"/>
  <c r="I663"/>
  <c r="J663"/>
  <c r="K663"/>
  <c r="L663"/>
  <c r="M663"/>
  <c r="N663"/>
  <c r="O663"/>
  <c r="P663"/>
  <c r="Q663"/>
  <c r="R663"/>
  <c r="S663"/>
  <c r="T663"/>
  <c r="U663"/>
  <c r="W663"/>
  <c r="Y663"/>
  <c r="Z663"/>
  <c r="AA663"/>
  <c r="AB663"/>
  <c r="AC663"/>
  <c r="AD663"/>
  <c r="AE663"/>
  <c r="AF663"/>
  <c r="AG663"/>
  <c r="AH663"/>
  <c r="AI663"/>
  <c r="AL663"/>
  <c r="AM663"/>
  <c r="AN663"/>
  <c r="G663"/>
  <c r="C663"/>
  <c r="I670"/>
  <c r="J670"/>
  <c r="K670"/>
  <c r="L670"/>
  <c r="M670"/>
  <c r="N670"/>
  <c r="O670"/>
  <c r="P670"/>
  <c r="Q670"/>
  <c r="R670"/>
  <c r="S670"/>
  <c r="T670"/>
  <c r="U670"/>
  <c r="W670"/>
  <c r="Y670"/>
  <c r="Z670"/>
  <c r="AA670"/>
  <c r="AB670"/>
  <c r="AC670"/>
  <c r="AD670"/>
  <c r="AE670"/>
  <c r="AF670"/>
  <c r="AG670"/>
  <c r="AH670"/>
  <c r="AI670"/>
  <c r="AL670"/>
  <c r="G670"/>
  <c r="C670"/>
  <c r="I676"/>
  <c r="J676"/>
  <c r="K676"/>
  <c r="L676"/>
  <c r="M676"/>
  <c r="N676"/>
  <c r="O676"/>
  <c r="P676"/>
  <c r="Q676"/>
  <c r="R676"/>
  <c r="S676"/>
  <c r="T676"/>
  <c r="U676"/>
  <c r="W676"/>
  <c r="Y676"/>
  <c r="Z676"/>
  <c r="AA676"/>
  <c r="AB676"/>
  <c r="AC676"/>
  <c r="AD676"/>
  <c r="AE676"/>
  <c r="AF676"/>
  <c r="AG676"/>
  <c r="AH676"/>
  <c r="AI676"/>
  <c r="AL676"/>
  <c r="G676"/>
  <c r="C676"/>
  <c r="I679"/>
  <c r="J679"/>
  <c r="K679"/>
  <c r="L679"/>
  <c r="M679"/>
  <c r="N679"/>
  <c r="O679"/>
  <c r="P679"/>
  <c r="Q679"/>
  <c r="R679"/>
  <c r="S679"/>
  <c r="T679"/>
  <c r="U679"/>
  <c r="W679"/>
  <c r="Y679"/>
  <c r="Z679"/>
  <c r="AA679"/>
  <c r="AB679"/>
  <c r="AC679"/>
  <c r="AD679"/>
  <c r="AE679"/>
  <c r="AF679"/>
  <c r="AG679"/>
  <c r="AH679"/>
  <c r="AI679"/>
  <c r="AL679"/>
  <c r="AM679"/>
  <c r="AN679"/>
  <c r="G679"/>
  <c r="C679"/>
  <c r="I689"/>
  <c r="J689"/>
  <c r="K689"/>
  <c r="L689"/>
  <c r="M689"/>
  <c r="N689"/>
  <c r="O689"/>
  <c r="P689"/>
  <c r="Q689"/>
  <c r="R689"/>
  <c r="S689"/>
  <c r="T689"/>
  <c r="U689"/>
  <c r="W689"/>
  <c r="Y689"/>
  <c r="Z689"/>
  <c r="AA689"/>
  <c r="AB689"/>
  <c r="AC689"/>
  <c r="AD689"/>
  <c r="AE689"/>
  <c r="AF689"/>
  <c r="AG689"/>
  <c r="AH689"/>
  <c r="AI689"/>
  <c r="AL689"/>
  <c r="C689"/>
  <c r="I692"/>
  <c r="J692"/>
  <c r="K692"/>
  <c r="L692"/>
  <c r="M692"/>
  <c r="N692"/>
  <c r="O692"/>
  <c r="P692"/>
  <c r="Q692"/>
  <c r="R692"/>
  <c r="S692"/>
  <c r="T692"/>
  <c r="U692"/>
  <c r="W692"/>
  <c r="Y692"/>
  <c r="Z692"/>
  <c r="AA692"/>
  <c r="AB692"/>
  <c r="AC692"/>
  <c r="AD692"/>
  <c r="AE692"/>
  <c r="AF692"/>
  <c r="AG692"/>
  <c r="AH692"/>
  <c r="AI692"/>
  <c r="AL692"/>
  <c r="C692"/>
  <c r="AK691"/>
  <c r="AJ691"/>
  <c r="X691"/>
  <c r="H691"/>
  <c r="H692" s="1"/>
  <c r="AK688"/>
  <c r="AJ688"/>
  <c r="X688"/>
  <c r="H688"/>
  <c r="AK687"/>
  <c r="AJ687"/>
  <c r="X687"/>
  <c r="H687"/>
  <c r="AK686"/>
  <c r="AJ686"/>
  <c r="X686"/>
  <c r="H686"/>
  <c r="AK685"/>
  <c r="AJ685"/>
  <c r="X685"/>
  <c r="H685"/>
  <c r="AK684"/>
  <c r="AJ684"/>
  <c r="X684"/>
  <c r="H684"/>
  <c r="AK683"/>
  <c r="AJ683"/>
  <c r="X683"/>
  <c r="H683"/>
  <c r="AK682"/>
  <c r="AJ682"/>
  <c r="X682"/>
  <c r="H682"/>
  <c r="AK681"/>
  <c r="AJ681"/>
  <c r="X681"/>
  <c r="H681"/>
  <c r="H689" s="1"/>
  <c r="AK678"/>
  <c r="AJ678"/>
  <c r="X678"/>
  <c r="H678"/>
  <c r="H679" s="1"/>
  <c r="AK675"/>
  <c r="AJ675"/>
  <c r="X675"/>
  <c r="H675"/>
  <c r="AK674"/>
  <c r="AJ674"/>
  <c r="X674"/>
  <c r="H674"/>
  <c r="AK673"/>
  <c r="AJ673"/>
  <c r="X673"/>
  <c r="H673"/>
  <c r="H676" s="1"/>
  <c r="AK669"/>
  <c r="AJ669"/>
  <c r="X669"/>
  <c r="H669"/>
  <c r="AK668"/>
  <c r="AJ668"/>
  <c r="X668"/>
  <c r="H668"/>
  <c r="AK667"/>
  <c r="AJ667"/>
  <c r="X667"/>
  <c r="H667"/>
  <c r="AK665"/>
  <c r="AJ665"/>
  <c r="X665"/>
  <c r="H665"/>
  <c r="AK666"/>
  <c r="AJ666"/>
  <c r="X666"/>
  <c r="H666"/>
  <c r="AK662"/>
  <c r="AJ662"/>
  <c r="X662"/>
  <c r="H662"/>
  <c r="AK661"/>
  <c r="AJ661"/>
  <c r="X661"/>
  <c r="H661"/>
  <c r="H663" s="1"/>
  <c r="AK658"/>
  <c r="AJ658"/>
  <c r="X658"/>
  <c r="H658"/>
  <c r="H659" s="1"/>
  <c r="AK655"/>
  <c r="AJ655"/>
  <c r="X655"/>
  <c r="H655"/>
  <c r="H656" s="1"/>
  <c r="AK652"/>
  <c r="AJ652"/>
  <c r="X652"/>
  <c r="H652"/>
  <c r="H653" s="1"/>
  <c r="AK649"/>
  <c r="AJ649"/>
  <c r="X649"/>
  <c r="H649"/>
  <c r="AK648"/>
  <c r="AJ648"/>
  <c r="X648"/>
  <c r="H648"/>
  <c r="AK647"/>
  <c r="AJ647"/>
  <c r="X647"/>
  <c r="H647"/>
  <c r="AK646"/>
  <c r="AJ646"/>
  <c r="X646"/>
  <c r="H646"/>
  <c r="AK645"/>
  <c r="AJ645"/>
  <c r="X645"/>
  <c r="H645"/>
  <c r="H650" s="1"/>
  <c r="AK642"/>
  <c r="AJ642"/>
  <c r="X642"/>
  <c r="H642"/>
  <c r="H643" s="1"/>
  <c r="AK639"/>
  <c r="AJ639"/>
  <c r="H639"/>
  <c r="AK638"/>
  <c r="AJ638"/>
  <c r="X638"/>
  <c r="H638"/>
  <c r="H640" s="1"/>
  <c r="AK635"/>
  <c r="AJ635"/>
  <c r="X635"/>
  <c r="H635"/>
  <c r="AK634"/>
  <c r="AJ634"/>
  <c r="X634"/>
  <c r="H634"/>
  <c r="H636" s="1"/>
  <c r="AK631"/>
  <c r="AJ631"/>
  <c r="X631"/>
  <c r="H631"/>
  <c r="H632" s="1"/>
  <c r="AK623"/>
  <c r="AJ623"/>
  <c r="X623"/>
  <c r="H623"/>
  <c r="AK622"/>
  <c r="AJ622"/>
  <c r="X622"/>
  <c r="H622"/>
  <c r="H624" s="1"/>
  <c r="AK619"/>
  <c r="AJ619"/>
  <c r="H619"/>
  <c r="H620" s="1"/>
  <c r="AK616"/>
  <c r="AJ616"/>
  <c r="H616"/>
  <c r="AK615"/>
  <c r="AJ615"/>
  <c r="X615"/>
  <c r="H615"/>
  <c r="H617" s="1"/>
  <c r="AK612"/>
  <c r="AJ612"/>
  <c r="X612"/>
  <c r="H612"/>
  <c r="AK611"/>
  <c r="AJ611"/>
  <c r="X611"/>
  <c r="H611"/>
  <c r="AK610"/>
  <c r="AJ610"/>
  <c r="X610"/>
  <c r="H610"/>
  <c r="AK609"/>
  <c r="AJ609"/>
  <c r="X609"/>
  <c r="H609"/>
  <c r="AK608"/>
  <c r="AJ608"/>
  <c r="X608"/>
  <c r="H608"/>
  <c r="AK607"/>
  <c r="AJ607"/>
  <c r="X607"/>
  <c r="H607"/>
  <c r="H613" s="1"/>
  <c r="AK604"/>
  <c r="AJ604"/>
  <c r="H604"/>
  <c r="H605" s="1"/>
  <c r="J566" i="9"/>
  <c r="K566"/>
  <c r="D58" i="11" s="1"/>
  <c r="M566" i="9"/>
  <c r="N566"/>
  <c r="O566"/>
  <c r="Q566"/>
  <c r="R566"/>
  <c r="I566"/>
  <c r="C58" i="11" s="1"/>
  <c r="J569" i="9"/>
  <c r="K569"/>
  <c r="D59" i="11" s="1"/>
  <c r="M569" i="9"/>
  <c r="N569"/>
  <c r="O569"/>
  <c r="Q569"/>
  <c r="R569"/>
  <c r="I569"/>
  <c r="C59" i="11" s="1"/>
  <c r="J572" i="9"/>
  <c r="K572"/>
  <c r="D60" i="11" s="1"/>
  <c r="M572" i="9"/>
  <c r="N572"/>
  <c r="O572"/>
  <c r="Q572"/>
  <c r="R572"/>
  <c r="I572"/>
  <c r="C60" i="11" s="1"/>
  <c r="J583" i="9"/>
  <c r="K583"/>
  <c r="D61" i="11" s="1"/>
  <c r="M583" i="9"/>
  <c r="N583"/>
  <c r="O583"/>
  <c r="Q583"/>
  <c r="R583"/>
  <c r="I583"/>
  <c r="C61" i="11" s="1"/>
  <c r="J586" i="9"/>
  <c r="K586"/>
  <c r="D62" i="11" s="1"/>
  <c r="M586" i="9"/>
  <c r="N586"/>
  <c r="O586"/>
  <c r="Q586"/>
  <c r="R586"/>
  <c r="I586"/>
  <c r="C62" i="11" s="1"/>
  <c r="J589" i="9"/>
  <c r="K589"/>
  <c r="D63" i="11" s="1"/>
  <c r="M589" i="9"/>
  <c r="N589"/>
  <c r="O589"/>
  <c r="Q589"/>
  <c r="R589"/>
  <c r="I589"/>
  <c r="C63" i="11" s="1"/>
  <c r="J592" i="9"/>
  <c r="K592"/>
  <c r="D64" i="11" s="1"/>
  <c r="M592" i="9"/>
  <c r="N592"/>
  <c r="O592"/>
  <c r="Q592"/>
  <c r="R592"/>
  <c r="I592"/>
  <c r="C64" i="11" s="1"/>
  <c r="J600" i="9"/>
  <c r="K600"/>
  <c r="D65" i="11" s="1"/>
  <c r="M600" i="9"/>
  <c r="N600"/>
  <c r="O600"/>
  <c r="Q600"/>
  <c r="R600"/>
  <c r="I600"/>
  <c r="C65" i="11" s="1"/>
  <c r="L599" i="9"/>
  <c r="P599" s="1"/>
  <c r="L598"/>
  <c r="P598" s="1"/>
  <c r="L597"/>
  <c r="P597" s="1"/>
  <c r="L596"/>
  <c r="P596" s="1"/>
  <c r="L595"/>
  <c r="P595" s="1"/>
  <c r="L594"/>
  <c r="P594" s="1"/>
  <c r="L591"/>
  <c r="P591" s="1"/>
  <c r="P592" s="1"/>
  <c r="L588"/>
  <c r="P588" s="1"/>
  <c r="P589" s="1"/>
  <c r="L585"/>
  <c r="P585" s="1"/>
  <c r="P586" s="1"/>
  <c r="L575"/>
  <c r="P575" s="1"/>
  <c r="L576"/>
  <c r="P576" s="1"/>
  <c r="L577"/>
  <c r="P577" s="1"/>
  <c r="L578"/>
  <c r="P578" s="1"/>
  <c r="L579"/>
  <c r="P579" s="1"/>
  <c r="L580"/>
  <c r="P580" s="1"/>
  <c r="L581"/>
  <c r="P581" s="1"/>
  <c r="L582"/>
  <c r="P582" s="1"/>
  <c r="L574"/>
  <c r="P574" s="1"/>
  <c r="L571"/>
  <c r="P571" s="1"/>
  <c r="P572" s="1"/>
  <c r="L568"/>
  <c r="P568" s="1"/>
  <c r="P569" s="1"/>
  <c r="L565"/>
  <c r="P565" s="1"/>
  <c r="L564"/>
  <c r="P564" s="1"/>
  <c r="AJ579" i="10"/>
  <c r="AK579"/>
  <c r="AI579"/>
  <c r="Q579"/>
  <c r="S579"/>
  <c r="O579"/>
  <c r="M579"/>
  <c r="K579"/>
  <c r="I579"/>
  <c r="X587"/>
  <c r="X580"/>
  <c r="I568"/>
  <c r="J568"/>
  <c r="K568"/>
  <c r="L568"/>
  <c r="M568"/>
  <c r="N568"/>
  <c r="O568"/>
  <c r="P568"/>
  <c r="Q568"/>
  <c r="R568"/>
  <c r="S568"/>
  <c r="T568"/>
  <c r="U568"/>
  <c r="W568"/>
  <c r="Y568"/>
  <c r="Z568"/>
  <c r="AA568"/>
  <c r="AB568"/>
  <c r="AC568"/>
  <c r="AD568"/>
  <c r="AE568"/>
  <c r="AF568"/>
  <c r="AG568"/>
  <c r="AH568"/>
  <c r="AI568"/>
  <c r="AL568"/>
  <c r="AM568"/>
  <c r="AN568"/>
  <c r="G568"/>
  <c r="C568"/>
  <c r="I571"/>
  <c r="J571"/>
  <c r="K571"/>
  <c r="L571"/>
  <c r="M571"/>
  <c r="N571"/>
  <c r="O571"/>
  <c r="P571"/>
  <c r="Q571"/>
  <c r="R571"/>
  <c r="S571"/>
  <c r="T571"/>
  <c r="U571"/>
  <c r="W571"/>
  <c r="Y571"/>
  <c r="Z571"/>
  <c r="AA571"/>
  <c r="AB571"/>
  <c r="AC571"/>
  <c r="AD571"/>
  <c r="AE571"/>
  <c r="AF571"/>
  <c r="AG571"/>
  <c r="AH571"/>
  <c r="AI571"/>
  <c r="AL571"/>
  <c r="G571"/>
  <c r="C571"/>
  <c r="I574"/>
  <c r="J574"/>
  <c r="K574"/>
  <c r="L574"/>
  <c r="M574"/>
  <c r="N574"/>
  <c r="O574"/>
  <c r="P574"/>
  <c r="Q574"/>
  <c r="R574"/>
  <c r="S574"/>
  <c r="T574"/>
  <c r="U574"/>
  <c r="W574"/>
  <c r="Y574"/>
  <c r="Z574"/>
  <c r="AA574"/>
  <c r="AB574"/>
  <c r="AC574"/>
  <c r="AD574"/>
  <c r="AE574"/>
  <c r="AF574"/>
  <c r="AG574"/>
  <c r="AH574"/>
  <c r="AI574"/>
  <c r="AL574"/>
  <c r="G574"/>
  <c r="C574"/>
  <c r="J585"/>
  <c r="L585"/>
  <c r="N585"/>
  <c r="P585"/>
  <c r="R585"/>
  <c r="T585"/>
  <c r="U585"/>
  <c r="W585"/>
  <c r="Y585"/>
  <c r="Z585"/>
  <c r="AA585"/>
  <c r="AB585"/>
  <c r="AC585"/>
  <c r="AD585"/>
  <c r="AE585"/>
  <c r="AF585"/>
  <c r="AG585"/>
  <c r="AH585"/>
  <c r="AL585"/>
  <c r="AM585"/>
  <c r="AN585"/>
  <c r="G585"/>
  <c r="C585"/>
  <c r="I588"/>
  <c r="J588"/>
  <c r="K588"/>
  <c r="L588"/>
  <c r="M588"/>
  <c r="N588"/>
  <c r="O588"/>
  <c r="P588"/>
  <c r="Q588"/>
  <c r="R588"/>
  <c r="S588"/>
  <c r="T588"/>
  <c r="U588"/>
  <c r="W588"/>
  <c r="Y588"/>
  <c r="Z588"/>
  <c r="AA588"/>
  <c r="AB588"/>
  <c r="AC588"/>
  <c r="AD588"/>
  <c r="AE588"/>
  <c r="AF588"/>
  <c r="AG588"/>
  <c r="AH588"/>
  <c r="AI588"/>
  <c r="AL588"/>
  <c r="G588"/>
  <c r="C588"/>
  <c r="I591"/>
  <c r="J591"/>
  <c r="K591"/>
  <c r="L591"/>
  <c r="M591"/>
  <c r="N591"/>
  <c r="O591"/>
  <c r="P591"/>
  <c r="Q591"/>
  <c r="R591"/>
  <c r="S591"/>
  <c r="T591"/>
  <c r="U591"/>
  <c r="W591"/>
  <c r="Y591"/>
  <c r="Z591"/>
  <c r="AA591"/>
  <c r="AB591"/>
  <c r="AC591"/>
  <c r="AD591"/>
  <c r="AE591"/>
  <c r="AF591"/>
  <c r="AG591"/>
  <c r="AH591"/>
  <c r="AI591"/>
  <c r="AL591"/>
  <c r="G591"/>
  <c r="C591"/>
  <c r="I594"/>
  <c r="J594"/>
  <c r="K594"/>
  <c r="L594"/>
  <c r="M594"/>
  <c r="N594"/>
  <c r="O594"/>
  <c r="P594"/>
  <c r="Q594"/>
  <c r="R594"/>
  <c r="S594"/>
  <c r="T594"/>
  <c r="U594"/>
  <c r="W594"/>
  <c r="Y594"/>
  <c r="Z594"/>
  <c r="AA594"/>
  <c r="AB594"/>
  <c r="AC594"/>
  <c r="AD594"/>
  <c r="AE594"/>
  <c r="AF594"/>
  <c r="AG594"/>
  <c r="AH594"/>
  <c r="AI594"/>
  <c r="AL594"/>
  <c r="G594"/>
  <c r="C594"/>
  <c r="I602"/>
  <c r="J602"/>
  <c r="K602"/>
  <c r="L602"/>
  <c r="M602"/>
  <c r="N602"/>
  <c r="O602"/>
  <c r="P602"/>
  <c r="Q602"/>
  <c r="R602"/>
  <c r="S602"/>
  <c r="T602"/>
  <c r="U602"/>
  <c r="W602"/>
  <c r="Y602"/>
  <c r="Z602"/>
  <c r="AA602"/>
  <c r="AB602"/>
  <c r="AC602"/>
  <c r="AD602"/>
  <c r="AE602"/>
  <c r="AF602"/>
  <c r="AG602"/>
  <c r="AH602"/>
  <c r="AI602"/>
  <c r="AL602"/>
  <c r="G602"/>
  <c r="C602"/>
  <c r="AK601"/>
  <c r="AJ601"/>
  <c r="X601"/>
  <c r="H601"/>
  <c r="AK600"/>
  <c r="AJ600"/>
  <c r="X600"/>
  <c r="H600"/>
  <c r="AK599"/>
  <c r="AJ599"/>
  <c r="X599"/>
  <c r="H599"/>
  <c r="AK598"/>
  <c r="AJ598"/>
  <c r="X598"/>
  <c r="H598"/>
  <c r="AK597"/>
  <c r="AJ597"/>
  <c r="X597"/>
  <c r="H597"/>
  <c r="AK596"/>
  <c r="AJ596"/>
  <c r="X596"/>
  <c r="H596"/>
  <c r="AK593"/>
  <c r="AJ593"/>
  <c r="X593"/>
  <c r="H593"/>
  <c r="H594" s="1"/>
  <c r="AK590"/>
  <c r="AJ590"/>
  <c r="X590"/>
  <c r="H590"/>
  <c r="H591" s="1"/>
  <c r="AK587"/>
  <c r="AJ587"/>
  <c r="H587"/>
  <c r="H588" s="1"/>
  <c r="AK584"/>
  <c r="AJ584"/>
  <c r="X584"/>
  <c r="H584"/>
  <c r="AK583"/>
  <c r="AJ583"/>
  <c r="X583"/>
  <c r="H583"/>
  <c r="AK582"/>
  <c r="AJ582"/>
  <c r="X582"/>
  <c r="H582"/>
  <c r="AK581"/>
  <c r="AJ581"/>
  <c r="X581"/>
  <c r="H581"/>
  <c r="AK580"/>
  <c r="AJ580"/>
  <c r="H580"/>
  <c r="AK578"/>
  <c r="AJ578"/>
  <c r="X578"/>
  <c r="H578"/>
  <c r="AK577"/>
  <c r="AJ577"/>
  <c r="X577"/>
  <c r="H577"/>
  <c r="AK576"/>
  <c r="AJ576"/>
  <c r="X576"/>
  <c r="H576"/>
  <c r="AK573"/>
  <c r="AJ573"/>
  <c r="X573"/>
  <c r="H573"/>
  <c r="H574" s="1"/>
  <c r="AK570"/>
  <c r="AJ570"/>
  <c r="X570"/>
  <c r="H570"/>
  <c r="H571" s="1"/>
  <c r="AK567"/>
  <c r="AJ567"/>
  <c r="X567"/>
  <c r="H567"/>
  <c r="AK566"/>
  <c r="AJ566"/>
  <c r="X566"/>
  <c r="H566"/>
  <c r="H568" s="1"/>
  <c r="J548" i="9"/>
  <c r="K548"/>
  <c r="D54" i="11" s="1"/>
  <c r="M548" i="9"/>
  <c r="N548"/>
  <c r="O548"/>
  <c r="Q548"/>
  <c r="R548"/>
  <c r="I548"/>
  <c r="C54" i="11" s="1"/>
  <c r="R556" i="9"/>
  <c r="J552"/>
  <c r="K552"/>
  <c r="D55" i="11" s="1"/>
  <c r="M552" i="9"/>
  <c r="N552"/>
  <c r="O552"/>
  <c r="Q552"/>
  <c r="R552"/>
  <c r="I552"/>
  <c r="C55" i="11" s="1"/>
  <c r="J556" i="9"/>
  <c r="K556"/>
  <c r="D56" i="11" s="1"/>
  <c r="M556" i="9"/>
  <c r="N556"/>
  <c r="O556"/>
  <c r="Q556"/>
  <c r="I556"/>
  <c r="C56" i="11" s="1"/>
  <c r="J562" i="9"/>
  <c r="K562"/>
  <c r="D57" i="11" s="1"/>
  <c r="M562" i="9"/>
  <c r="N562"/>
  <c r="O562"/>
  <c r="Q562"/>
  <c r="R562"/>
  <c r="I562"/>
  <c r="C57" i="11" s="1"/>
  <c r="L561" i="9"/>
  <c r="P561" s="1"/>
  <c r="L560"/>
  <c r="P560" s="1"/>
  <c r="L559"/>
  <c r="P559" s="1"/>
  <c r="L558"/>
  <c r="P558" s="1"/>
  <c r="L555"/>
  <c r="P555" s="1"/>
  <c r="L554"/>
  <c r="P554" s="1"/>
  <c r="L551"/>
  <c r="P551" s="1"/>
  <c r="L550"/>
  <c r="P550" s="1"/>
  <c r="L547"/>
  <c r="P547" s="1"/>
  <c r="P548" s="1"/>
  <c r="I564" i="10"/>
  <c r="J564"/>
  <c r="K564"/>
  <c r="L564"/>
  <c r="N564"/>
  <c r="O564"/>
  <c r="P564"/>
  <c r="Q564"/>
  <c r="R564"/>
  <c r="S564"/>
  <c r="T564"/>
  <c r="U564"/>
  <c r="W564"/>
  <c r="X564"/>
  <c r="Y564"/>
  <c r="Z564"/>
  <c r="AA564"/>
  <c r="AB564"/>
  <c r="AC564"/>
  <c r="AD564"/>
  <c r="AE564"/>
  <c r="AF564"/>
  <c r="AG564"/>
  <c r="AH564"/>
  <c r="AL564"/>
  <c r="G564"/>
  <c r="C564"/>
  <c r="M561"/>
  <c r="M563"/>
  <c r="AJ561"/>
  <c r="AJ562"/>
  <c r="AJ563"/>
  <c r="AJ560"/>
  <c r="AK561"/>
  <c r="AK562"/>
  <c r="AK563"/>
  <c r="AK560"/>
  <c r="AI563"/>
  <c r="AI562"/>
  <c r="AI561"/>
  <c r="AI560"/>
  <c r="M562"/>
  <c r="M560"/>
  <c r="H561"/>
  <c r="I558"/>
  <c r="J558"/>
  <c r="K558"/>
  <c r="L558"/>
  <c r="M558"/>
  <c r="N558"/>
  <c r="P558"/>
  <c r="Q558"/>
  <c r="R558"/>
  <c r="T558"/>
  <c r="U558"/>
  <c r="W558"/>
  <c r="X558"/>
  <c r="Y558"/>
  <c r="Z558"/>
  <c r="AA558"/>
  <c r="AB558"/>
  <c r="AC558"/>
  <c r="AD558"/>
  <c r="AE558"/>
  <c r="AF558"/>
  <c r="AG558"/>
  <c r="AH558"/>
  <c r="AL558"/>
  <c r="G558"/>
  <c r="C558"/>
  <c r="AK557"/>
  <c r="AJ557"/>
  <c r="S557"/>
  <c r="AK556"/>
  <c r="AJ556"/>
  <c r="AI556"/>
  <c r="AI558" s="1"/>
  <c r="S556"/>
  <c r="O556"/>
  <c r="O558" s="1"/>
  <c r="I554"/>
  <c r="J554"/>
  <c r="K554"/>
  <c r="L554"/>
  <c r="M554"/>
  <c r="N554"/>
  <c r="O554"/>
  <c r="P554"/>
  <c r="Q554"/>
  <c r="R554"/>
  <c r="S554"/>
  <c r="T554"/>
  <c r="U554"/>
  <c r="W554"/>
  <c r="Y554"/>
  <c r="Z554"/>
  <c r="AA554"/>
  <c r="AB554"/>
  <c r="AC554"/>
  <c r="AD554"/>
  <c r="AE554"/>
  <c r="AF554"/>
  <c r="AG554"/>
  <c r="AH554"/>
  <c r="AI554"/>
  <c r="AL554"/>
  <c r="G554"/>
  <c r="C554"/>
  <c r="I550"/>
  <c r="J550"/>
  <c r="K550"/>
  <c r="L550"/>
  <c r="M550"/>
  <c r="N550"/>
  <c r="O550"/>
  <c r="P550"/>
  <c r="Q550"/>
  <c r="R550"/>
  <c r="S550"/>
  <c r="T550"/>
  <c r="U550"/>
  <c r="W550"/>
  <c r="Y550"/>
  <c r="Z550"/>
  <c r="AA550"/>
  <c r="AB550"/>
  <c r="AC550"/>
  <c r="AD550"/>
  <c r="AE550"/>
  <c r="AF550"/>
  <c r="AG550"/>
  <c r="AH550"/>
  <c r="AI550"/>
  <c r="AL550"/>
  <c r="G550"/>
  <c r="C550"/>
  <c r="R520" i="9"/>
  <c r="Q520"/>
  <c r="O520"/>
  <c r="N520"/>
  <c r="M520"/>
  <c r="K520"/>
  <c r="D50" i="11" s="1"/>
  <c r="J520" i="9"/>
  <c r="I520"/>
  <c r="C50" i="11" s="1"/>
  <c r="R530" i="9"/>
  <c r="R526"/>
  <c r="Q526"/>
  <c r="O526"/>
  <c r="N526"/>
  <c r="M526"/>
  <c r="K526"/>
  <c r="D51" i="11" s="1"/>
  <c r="J526" i="9"/>
  <c r="I526"/>
  <c r="C51" i="11" s="1"/>
  <c r="Q530" i="9"/>
  <c r="O530"/>
  <c r="N530"/>
  <c r="M530"/>
  <c r="K530"/>
  <c r="D52" i="11" s="1"/>
  <c r="J530" i="9"/>
  <c r="H553" i="10"/>
  <c r="H552"/>
  <c r="AK549"/>
  <c r="AJ549"/>
  <c r="X549"/>
  <c r="H549"/>
  <c r="H550" s="1"/>
  <c r="I530" i="9"/>
  <c r="C52" i="11" s="1"/>
  <c r="L529" i="9"/>
  <c r="P529" s="1"/>
  <c r="L528"/>
  <c r="P528" s="1"/>
  <c r="L525"/>
  <c r="P525" s="1"/>
  <c r="L524"/>
  <c r="P524" s="1"/>
  <c r="L522"/>
  <c r="L519"/>
  <c r="P519" s="1"/>
  <c r="L518"/>
  <c r="P518" s="1"/>
  <c r="L517"/>
  <c r="P517" s="1"/>
  <c r="L533"/>
  <c r="P533" s="1"/>
  <c r="L534"/>
  <c r="P534" s="1"/>
  <c r="L535"/>
  <c r="P535" s="1"/>
  <c r="L536"/>
  <c r="P536" s="1"/>
  <c r="L537"/>
  <c r="P537" s="1"/>
  <c r="L538"/>
  <c r="P538" s="1"/>
  <c r="L539"/>
  <c r="P539" s="1"/>
  <c r="L540"/>
  <c r="P540" s="1"/>
  <c r="L541"/>
  <c r="P541" s="1"/>
  <c r="L542"/>
  <c r="P542" s="1"/>
  <c r="L543"/>
  <c r="P543" s="1"/>
  <c r="L544"/>
  <c r="P544" s="1"/>
  <c r="L532"/>
  <c r="P532" s="1"/>
  <c r="J545"/>
  <c r="K545"/>
  <c r="D53" i="11" s="1"/>
  <c r="M545" i="9"/>
  <c r="N545"/>
  <c r="O545"/>
  <c r="Q545"/>
  <c r="R545"/>
  <c r="I545"/>
  <c r="C53" i="11" s="1"/>
  <c r="AK546" i="10"/>
  <c r="AJ546"/>
  <c r="AI546"/>
  <c r="O546"/>
  <c r="S546"/>
  <c r="M546"/>
  <c r="K546"/>
  <c r="I546"/>
  <c r="J547"/>
  <c r="L547"/>
  <c r="N547"/>
  <c r="P547"/>
  <c r="Q547"/>
  <c r="R547"/>
  <c r="T547"/>
  <c r="U547"/>
  <c r="W547"/>
  <c r="Y547"/>
  <c r="Z547"/>
  <c r="AA547"/>
  <c r="AB547"/>
  <c r="AC547"/>
  <c r="AD547"/>
  <c r="AE547"/>
  <c r="AF547"/>
  <c r="AG547"/>
  <c r="AH547"/>
  <c r="AL547"/>
  <c r="C547"/>
  <c r="I532"/>
  <c r="J532"/>
  <c r="K532"/>
  <c r="L532"/>
  <c r="M532"/>
  <c r="N532"/>
  <c r="O532"/>
  <c r="P532"/>
  <c r="Q532"/>
  <c r="R532"/>
  <c r="S532"/>
  <c r="T532"/>
  <c r="U532"/>
  <c r="W532"/>
  <c r="Y532"/>
  <c r="Z532"/>
  <c r="AA532"/>
  <c r="AB532"/>
  <c r="AC532"/>
  <c r="AD532"/>
  <c r="AE532"/>
  <c r="AF532"/>
  <c r="AG532"/>
  <c r="AH532"/>
  <c r="AI532"/>
  <c r="AL532"/>
  <c r="AM532"/>
  <c r="AN532"/>
  <c r="G532"/>
  <c r="C532"/>
  <c r="C528"/>
  <c r="I528"/>
  <c r="J528"/>
  <c r="K528"/>
  <c r="L528"/>
  <c r="M528"/>
  <c r="N528"/>
  <c r="O528"/>
  <c r="P528"/>
  <c r="Q528"/>
  <c r="R528"/>
  <c r="S528"/>
  <c r="T528"/>
  <c r="U528"/>
  <c r="Y528"/>
  <c r="Z528"/>
  <c r="AA528"/>
  <c r="AB528"/>
  <c r="AC528"/>
  <c r="AD528"/>
  <c r="AE528"/>
  <c r="AF528"/>
  <c r="AG528"/>
  <c r="AH528"/>
  <c r="AI528"/>
  <c r="AL528"/>
  <c r="I522"/>
  <c r="J522"/>
  <c r="K522"/>
  <c r="L522"/>
  <c r="M522"/>
  <c r="N522"/>
  <c r="O522"/>
  <c r="P522"/>
  <c r="Q522"/>
  <c r="R522"/>
  <c r="S522"/>
  <c r="T522"/>
  <c r="U522"/>
  <c r="W522"/>
  <c r="Y522"/>
  <c r="Z522"/>
  <c r="AA522"/>
  <c r="AB522"/>
  <c r="AC522"/>
  <c r="AD522"/>
  <c r="AE522"/>
  <c r="AF522"/>
  <c r="AG522"/>
  <c r="AH522"/>
  <c r="AI522"/>
  <c r="AL522"/>
  <c r="G522"/>
  <c r="C522"/>
  <c r="H536"/>
  <c r="X536"/>
  <c r="AJ536"/>
  <c r="AK536"/>
  <c r="H537"/>
  <c r="X537"/>
  <c r="AJ537"/>
  <c r="AK537"/>
  <c r="H538"/>
  <c r="X538"/>
  <c r="AJ538"/>
  <c r="AK538"/>
  <c r="H539"/>
  <c r="X539"/>
  <c r="AJ539"/>
  <c r="AK539"/>
  <c r="H540"/>
  <c r="X540"/>
  <c r="AJ540"/>
  <c r="AK540"/>
  <c r="H541"/>
  <c r="X541"/>
  <c r="AJ541"/>
  <c r="AK541"/>
  <c r="H542"/>
  <c r="X542"/>
  <c r="AJ542"/>
  <c r="AK542"/>
  <c r="H543"/>
  <c r="X543"/>
  <c r="AJ543"/>
  <c r="AK543"/>
  <c r="H544"/>
  <c r="X544"/>
  <c r="AJ544"/>
  <c r="AK544"/>
  <c r="H545"/>
  <c r="X545"/>
  <c r="AJ545"/>
  <c r="AK545"/>
  <c r="AK535"/>
  <c r="AJ535"/>
  <c r="X535"/>
  <c r="H535"/>
  <c r="AK534"/>
  <c r="AJ534"/>
  <c r="X534"/>
  <c r="H534"/>
  <c r="AK531"/>
  <c r="AJ531"/>
  <c r="X531"/>
  <c r="H531"/>
  <c r="AK530"/>
  <c r="AJ530"/>
  <c r="X530"/>
  <c r="H530"/>
  <c r="H532" s="1"/>
  <c r="AK527"/>
  <c r="AJ527"/>
  <c r="X527"/>
  <c r="H527"/>
  <c r="AK526"/>
  <c r="AJ526"/>
  <c r="X526"/>
  <c r="H526"/>
  <c r="H525"/>
  <c r="G525" s="1"/>
  <c r="AK524"/>
  <c r="AJ524"/>
  <c r="X524"/>
  <c r="X528" s="1"/>
  <c r="H524"/>
  <c r="H528" s="1"/>
  <c r="AK521"/>
  <c r="AJ521"/>
  <c r="X521"/>
  <c r="H521"/>
  <c r="AK520"/>
  <c r="AJ520"/>
  <c r="X520"/>
  <c r="H520"/>
  <c r="AK519"/>
  <c r="AJ519"/>
  <c r="X519"/>
  <c r="H519"/>
  <c r="H522" s="1"/>
  <c r="L504" i="9"/>
  <c r="P504" s="1"/>
  <c r="L505"/>
  <c r="P505" s="1"/>
  <c r="L506"/>
  <c r="P506" s="1"/>
  <c r="L507"/>
  <c r="P507" s="1"/>
  <c r="L508"/>
  <c r="P508" s="1"/>
  <c r="L509"/>
  <c r="P509" s="1"/>
  <c r="L510"/>
  <c r="P510" s="1"/>
  <c r="L511"/>
  <c r="P511" s="1"/>
  <c r="L512"/>
  <c r="P512" s="1"/>
  <c r="L513"/>
  <c r="P513" s="1"/>
  <c r="L514"/>
  <c r="P514" s="1"/>
  <c r="L503"/>
  <c r="P503" s="1"/>
  <c r="J515"/>
  <c r="K515"/>
  <c r="D49" i="11" s="1"/>
  <c r="M515" i="9"/>
  <c r="N515"/>
  <c r="O515"/>
  <c r="Q515"/>
  <c r="R515"/>
  <c r="I515"/>
  <c r="C49" i="11" s="1"/>
  <c r="I517" i="10"/>
  <c r="J517"/>
  <c r="K517"/>
  <c r="L517"/>
  <c r="M517"/>
  <c r="N517"/>
  <c r="O517"/>
  <c r="P517"/>
  <c r="Q517"/>
  <c r="R517"/>
  <c r="S517"/>
  <c r="T517"/>
  <c r="U517"/>
  <c r="W517"/>
  <c r="Y517"/>
  <c r="Z517"/>
  <c r="AA517"/>
  <c r="AB517"/>
  <c r="AC517"/>
  <c r="AD517"/>
  <c r="AE517"/>
  <c r="AF517"/>
  <c r="AG517"/>
  <c r="AH517"/>
  <c r="AI517"/>
  <c r="AL517"/>
  <c r="G517"/>
  <c r="C517"/>
  <c r="H508"/>
  <c r="X508"/>
  <c r="AJ508"/>
  <c r="AK508"/>
  <c r="H509"/>
  <c r="X509"/>
  <c r="AJ509"/>
  <c r="AK509"/>
  <c r="H510"/>
  <c r="X510"/>
  <c r="AJ510"/>
  <c r="AK510"/>
  <c r="H511"/>
  <c r="X511"/>
  <c r="AJ511"/>
  <c r="AK511"/>
  <c r="H512"/>
  <c r="X512"/>
  <c r="AJ512"/>
  <c r="AK512"/>
  <c r="H513"/>
  <c r="X513"/>
  <c r="AJ513"/>
  <c r="AK513"/>
  <c r="H514"/>
  <c r="X514"/>
  <c r="AJ514"/>
  <c r="AK514"/>
  <c r="H515"/>
  <c r="X515"/>
  <c r="AJ515"/>
  <c r="AK515"/>
  <c r="H516"/>
  <c r="X516"/>
  <c r="AJ516"/>
  <c r="AK516"/>
  <c r="AK507"/>
  <c r="AJ507"/>
  <c r="X507"/>
  <c r="H507"/>
  <c r="AK506"/>
  <c r="AJ506"/>
  <c r="X506"/>
  <c r="H506"/>
  <c r="AK505"/>
  <c r="AJ505"/>
  <c r="X505"/>
  <c r="H505"/>
  <c r="L495" i="9"/>
  <c r="P495" s="1"/>
  <c r="L496"/>
  <c r="P496" s="1"/>
  <c r="L497"/>
  <c r="P497" s="1"/>
  <c r="L498"/>
  <c r="P498" s="1"/>
  <c r="L499"/>
  <c r="P499" s="1"/>
  <c r="L500"/>
  <c r="P500" s="1"/>
  <c r="L494"/>
  <c r="P494" s="1"/>
  <c r="J501"/>
  <c r="K501"/>
  <c r="D48" i="11" s="1"/>
  <c r="M501" i="9"/>
  <c r="N501"/>
  <c r="N357" s="1"/>
  <c r="O501"/>
  <c r="Q501"/>
  <c r="Q357" s="1"/>
  <c r="R501"/>
  <c r="C48" i="11"/>
  <c r="I503" i="10"/>
  <c r="J503"/>
  <c r="K503"/>
  <c r="L503"/>
  <c r="M503"/>
  <c r="N503"/>
  <c r="O503"/>
  <c r="P503"/>
  <c r="Q503"/>
  <c r="R503"/>
  <c r="S503"/>
  <c r="T503"/>
  <c r="U503"/>
  <c r="W503"/>
  <c r="Y503"/>
  <c r="Z503"/>
  <c r="AA503"/>
  <c r="AB503"/>
  <c r="AC503"/>
  <c r="AD503"/>
  <c r="AE503"/>
  <c r="AF503"/>
  <c r="AG503"/>
  <c r="AH503"/>
  <c r="AI503"/>
  <c r="AL503"/>
  <c r="C503"/>
  <c r="X496"/>
  <c r="H498"/>
  <c r="X498"/>
  <c r="AJ498"/>
  <c r="AK498"/>
  <c r="H499"/>
  <c r="X499"/>
  <c r="AJ499"/>
  <c r="AK499"/>
  <c r="H500"/>
  <c r="X500"/>
  <c r="AJ500"/>
  <c r="AK500"/>
  <c r="H501"/>
  <c r="X501"/>
  <c r="AJ501"/>
  <c r="AK501"/>
  <c r="H502"/>
  <c r="X502"/>
  <c r="AJ502"/>
  <c r="AK502"/>
  <c r="AK497"/>
  <c r="AJ497"/>
  <c r="X497"/>
  <c r="H497"/>
  <c r="AK496"/>
  <c r="AJ496"/>
  <c r="H496"/>
  <c r="D47" i="11"/>
  <c r="C47"/>
  <c r="L360" i="9"/>
  <c r="P360" s="1"/>
  <c r="L361"/>
  <c r="P361" s="1"/>
  <c r="L362"/>
  <c r="P362" s="1"/>
  <c r="L363"/>
  <c r="P363" s="1"/>
  <c r="L364"/>
  <c r="P364" s="1"/>
  <c r="L365"/>
  <c r="P365" s="1"/>
  <c r="L366"/>
  <c r="P366" s="1"/>
  <c r="L367"/>
  <c r="P367" s="1"/>
  <c r="L368"/>
  <c r="P368" s="1"/>
  <c r="L369"/>
  <c r="P369" s="1"/>
  <c r="L370"/>
  <c r="P370" s="1"/>
  <c r="L371"/>
  <c r="P371" s="1"/>
  <c r="L372"/>
  <c r="P372" s="1"/>
  <c r="L373"/>
  <c r="P373" s="1"/>
  <c r="L374"/>
  <c r="P374" s="1"/>
  <c r="L375"/>
  <c r="P375" s="1"/>
  <c r="L376"/>
  <c r="P376" s="1"/>
  <c r="L377"/>
  <c r="P377" s="1"/>
  <c r="L378"/>
  <c r="P378" s="1"/>
  <c r="L379"/>
  <c r="P379" s="1"/>
  <c r="L380"/>
  <c r="P380" s="1"/>
  <c r="L381"/>
  <c r="P381" s="1"/>
  <c r="L382"/>
  <c r="P382" s="1"/>
  <c r="L383"/>
  <c r="P383" s="1"/>
  <c r="L385"/>
  <c r="P385" s="1"/>
  <c r="L386"/>
  <c r="P386" s="1"/>
  <c r="L387"/>
  <c r="P387" s="1"/>
  <c r="L388"/>
  <c r="P388" s="1"/>
  <c r="L389"/>
  <c r="P389" s="1"/>
  <c r="L390"/>
  <c r="P390" s="1"/>
  <c r="L391"/>
  <c r="P391" s="1"/>
  <c r="L392"/>
  <c r="P392" s="1"/>
  <c r="L393"/>
  <c r="P393" s="1"/>
  <c r="L394"/>
  <c r="P394" s="1"/>
  <c r="L395"/>
  <c r="P395" s="1"/>
  <c r="L396"/>
  <c r="P396" s="1"/>
  <c r="L397"/>
  <c r="P397" s="1"/>
  <c r="L398"/>
  <c r="P398" s="1"/>
  <c r="L399"/>
  <c r="P399" s="1"/>
  <c r="L400"/>
  <c r="P400" s="1"/>
  <c r="L401"/>
  <c r="P401" s="1"/>
  <c r="L402"/>
  <c r="P402" s="1"/>
  <c r="L403"/>
  <c r="P403" s="1"/>
  <c r="L404"/>
  <c r="P404" s="1"/>
  <c r="L405"/>
  <c r="P405" s="1"/>
  <c r="L406"/>
  <c r="P406" s="1"/>
  <c r="L407"/>
  <c r="P407" s="1"/>
  <c r="L408"/>
  <c r="P408" s="1"/>
  <c r="L409"/>
  <c r="P409" s="1"/>
  <c r="L410"/>
  <c r="P410" s="1"/>
  <c r="L411"/>
  <c r="P411" s="1"/>
  <c r="L412"/>
  <c r="P412" s="1"/>
  <c r="L413"/>
  <c r="P413" s="1"/>
  <c r="L414"/>
  <c r="P414" s="1"/>
  <c r="L415"/>
  <c r="P415" s="1"/>
  <c r="L416"/>
  <c r="P416" s="1"/>
  <c r="L417"/>
  <c r="P417" s="1"/>
  <c r="L418"/>
  <c r="P418" s="1"/>
  <c r="L419"/>
  <c r="P419" s="1"/>
  <c r="L420"/>
  <c r="P420" s="1"/>
  <c r="L421"/>
  <c r="P421" s="1"/>
  <c r="L422"/>
  <c r="P422" s="1"/>
  <c r="L423"/>
  <c r="P423" s="1"/>
  <c r="L424"/>
  <c r="P424" s="1"/>
  <c r="L425"/>
  <c r="P425" s="1"/>
  <c r="L426"/>
  <c r="P426" s="1"/>
  <c r="L427"/>
  <c r="P427" s="1"/>
  <c r="L428"/>
  <c r="P428" s="1"/>
  <c r="L429"/>
  <c r="P429" s="1"/>
  <c r="L430"/>
  <c r="P430" s="1"/>
  <c r="L431"/>
  <c r="P431" s="1"/>
  <c r="L432"/>
  <c r="P432" s="1"/>
  <c r="L433"/>
  <c r="P433" s="1"/>
  <c r="L434"/>
  <c r="P434" s="1"/>
  <c r="L435"/>
  <c r="P435" s="1"/>
  <c r="L436"/>
  <c r="P436" s="1"/>
  <c r="L437"/>
  <c r="P437" s="1"/>
  <c r="L438"/>
  <c r="P438" s="1"/>
  <c r="L439"/>
  <c r="P439" s="1"/>
  <c r="L440"/>
  <c r="P440" s="1"/>
  <c r="L441"/>
  <c r="P441" s="1"/>
  <c r="L442"/>
  <c r="P442" s="1"/>
  <c r="L443"/>
  <c r="P443" s="1"/>
  <c r="L444"/>
  <c r="P444" s="1"/>
  <c r="L445"/>
  <c r="P445" s="1"/>
  <c r="L446"/>
  <c r="P446" s="1"/>
  <c r="L447"/>
  <c r="P447" s="1"/>
  <c r="L448"/>
  <c r="P448" s="1"/>
  <c r="L449"/>
  <c r="P449" s="1"/>
  <c r="L450"/>
  <c r="P450" s="1"/>
  <c r="L451"/>
  <c r="P451" s="1"/>
  <c r="L452"/>
  <c r="P452" s="1"/>
  <c r="L453"/>
  <c r="P453" s="1"/>
  <c r="L454"/>
  <c r="P454" s="1"/>
  <c r="L455"/>
  <c r="P455" s="1"/>
  <c r="L456"/>
  <c r="P456" s="1"/>
  <c r="L457"/>
  <c r="P457" s="1"/>
  <c r="L458"/>
  <c r="P458" s="1"/>
  <c r="L459"/>
  <c r="P459" s="1"/>
  <c r="L460"/>
  <c r="P460" s="1"/>
  <c r="L461"/>
  <c r="P461" s="1"/>
  <c r="L462"/>
  <c r="P462" s="1"/>
  <c r="L463"/>
  <c r="P463" s="1"/>
  <c r="L464"/>
  <c r="P464" s="1"/>
  <c r="L465"/>
  <c r="P465" s="1"/>
  <c r="L466"/>
  <c r="P466" s="1"/>
  <c r="L467"/>
  <c r="P467" s="1"/>
  <c r="L468"/>
  <c r="P468" s="1"/>
  <c r="L469"/>
  <c r="P469" s="1"/>
  <c r="L470"/>
  <c r="P470" s="1"/>
  <c r="L471"/>
  <c r="P471" s="1"/>
  <c r="L472"/>
  <c r="P472" s="1"/>
  <c r="L473"/>
  <c r="P473" s="1"/>
  <c r="L474"/>
  <c r="P474" s="1"/>
  <c r="L475"/>
  <c r="P475" s="1"/>
  <c r="L476"/>
  <c r="P476" s="1"/>
  <c r="L477"/>
  <c r="P477" s="1"/>
  <c r="L478"/>
  <c r="P478" s="1"/>
  <c r="L479"/>
  <c r="P479" s="1"/>
  <c r="L480"/>
  <c r="P480" s="1"/>
  <c r="L481"/>
  <c r="P481" s="1"/>
  <c r="L482"/>
  <c r="P482" s="1"/>
  <c r="L483"/>
  <c r="P483" s="1"/>
  <c r="L484"/>
  <c r="P484" s="1"/>
  <c r="L485"/>
  <c r="P485" s="1"/>
  <c r="L486"/>
  <c r="P486" s="1"/>
  <c r="L487"/>
  <c r="P487" s="1"/>
  <c r="L488"/>
  <c r="P488" s="1"/>
  <c r="L489"/>
  <c r="P489" s="1"/>
  <c r="L359"/>
  <c r="C494" i="10"/>
  <c r="J494"/>
  <c r="L494"/>
  <c r="N494"/>
  <c r="P494"/>
  <c r="R494"/>
  <c r="X397"/>
  <c r="X441"/>
  <c r="X445"/>
  <c r="U486"/>
  <c r="AK492"/>
  <c r="AJ492"/>
  <c r="X492"/>
  <c r="H492"/>
  <c r="AK487"/>
  <c r="AJ487"/>
  <c r="AK486"/>
  <c r="AJ486"/>
  <c r="U487"/>
  <c r="AK484"/>
  <c r="AJ484"/>
  <c r="AI484"/>
  <c r="S484"/>
  <c r="S494" s="1"/>
  <c r="Q484"/>
  <c r="Q494" s="1"/>
  <c r="M484"/>
  <c r="M494" s="1"/>
  <c r="I484"/>
  <c r="K484"/>
  <c r="AK383"/>
  <c r="AJ383"/>
  <c r="AI383"/>
  <c r="O383"/>
  <c r="O494" s="1"/>
  <c r="H369"/>
  <c r="X369"/>
  <c r="AJ369"/>
  <c r="AK369"/>
  <c r="H370"/>
  <c r="X370"/>
  <c r="AJ370"/>
  <c r="AK370"/>
  <c r="H371"/>
  <c r="X371"/>
  <c r="AJ371"/>
  <c r="AK371"/>
  <c r="H372"/>
  <c r="X372"/>
  <c r="AJ372"/>
  <c r="AK372"/>
  <c r="H373"/>
  <c r="X373"/>
  <c r="AJ373"/>
  <c r="AK373"/>
  <c r="H374"/>
  <c r="X374"/>
  <c r="AJ374"/>
  <c r="AK374"/>
  <c r="H375"/>
  <c r="X375"/>
  <c r="AJ375"/>
  <c r="AK375"/>
  <c r="H376"/>
  <c r="X376"/>
  <c r="AJ376"/>
  <c r="AK376"/>
  <c r="H377"/>
  <c r="X377"/>
  <c r="AJ377"/>
  <c r="AK377"/>
  <c r="H378"/>
  <c r="X378"/>
  <c r="AJ378"/>
  <c r="AK378"/>
  <c r="H379"/>
  <c r="X379"/>
  <c r="AJ379"/>
  <c r="AK379"/>
  <c r="H380"/>
  <c r="X380"/>
  <c r="AJ380"/>
  <c r="AK380"/>
  <c r="H381"/>
  <c r="X381"/>
  <c r="AJ381"/>
  <c r="AK381"/>
  <c r="H382"/>
  <c r="X382"/>
  <c r="AJ382"/>
  <c r="AK382"/>
  <c r="H384"/>
  <c r="X384"/>
  <c r="AJ384"/>
  <c r="AK384"/>
  <c r="H385"/>
  <c r="X385"/>
  <c r="AJ385"/>
  <c r="AK385"/>
  <c r="G386"/>
  <c r="H387"/>
  <c r="X387"/>
  <c r="AJ387"/>
  <c r="AK387"/>
  <c r="H388"/>
  <c r="X388"/>
  <c r="AJ388"/>
  <c r="AK388"/>
  <c r="H389"/>
  <c r="X389"/>
  <c r="AJ389"/>
  <c r="AK389"/>
  <c r="H390"/>
  <c r="X390"/>
  <c r="AJ390"/>
  <c r="AK390"/>
  <c r="H391"/>
  <c r="X391"/>
  <c r="AJ391"/>
  <c r="AK391"/>
  <c r="H392"/>
  <c r="X392"/>
  <c r="AJ392"/>
  <c r="AK392"/>
  <c r="H393"/>
  <c r="X393"/>
  <c r="AJ393"/>
  <c r="AK393"/>
  <c r="H394"/>
  <c r="X394"/>
  <c r="AJ394"/>
  <c r="AK394"/>
  <c r="H395"/>
  <c r="X395"/>
  <c r="AJ395"/>
  <c r="AK395"/>
  <c r="H396"/>
  <c r="X396"/>
  <c r="AJ396"/>
  <c r="AK396"/>
  <c r="H397"/>
  <c r="AJ397"/>
  <c r="AK397"/>
  <c r="H398"/>
  <c r="X398"/>
  <c r="AJ398"/>
  <c r="AK398"/>
  <c r="H399"/>
  <c r="X399"/>
  <c r="AJ399"/>
  <c r="AK399"/>
  <c r="H400"/>
  <c r="X400"/>
  <c r="AJ400"/>
  <c r="AK400"/>
  <c r="H401"/>
  <c r="X401"/>
  <c r="AJ401"/>
  <c r="AK401"/>
  <c r="H402"/>
  <c r="X402"/>
  <c r="AJ402"/>
  <c r="AK402"/>
  <c r="H403"/>
  <c r="X403"/>
  <c r="AJ403"/>
  <c r="AK403"/>
  <c r="H404"/>
  <c r="X404"/>
  <c r="AJ404"/>
  <c r="AK404"/>
  <c r="H405"/>
  <c r="X405"/>
  <c r="AJ405"/>
  <c r="AK405"/>
  <c r="H406"/>
  <c r="X406"/>
  <c r="AJ406"/>
  <c r="AK406"/>
  <c r="H407"/>
  <c r="X407"/>
  <c r="AJ407"/>
  <c r="AK407"/>
  <c r="H408"/>
  <c r="X408"/>
  <c r="AJ408"/>
  <c r="AK408"/>
  <c r="H409"/>
  <c r="X409"/>
  <c r="AJ409"/>
  <c r="AK409"/>
  <c r="H410"/>
  <c r="X410"/>
  <c r="AJ410"/>
  <c r="AK410"/>
  <c r="H411"/>
  <c r="X411"/>
  <c r="AJ411"/>
  <c r="AK411"/>
  <c r="H412"/>
  <c r="X412"/>
  <c r="AJ412"/>
  <c r="AK412"/>
  <c r="H413"/>
  <c r="X413"/>
  <c r="AJ413"/>
  <c r="AK413"/>
  <c r="H414"/>
  <c r="X414"/>
  <c r="AJ414"/>
  <c r="AK414"/>
  <c r="H415"/>
  <c r="X415"/>
  <c r="AJ415"/>
  <c r="AK415"/>
  <c r="H416"/>
  <c r="X416"/>
  <c r="AJ416"/>
  <c r="AK416"/>
  <c r="H417"/>
  <c r="X417"/>
  <c r="AJ417"/>
  <c r="AK417"/>
  <c r="H418"/>
  <c r="X418"/>
  <c r="AJ418"/>
  <c r="AK418"/>
  <c r="H419"/>
  <c r="X419"/>
  <c r="AJ419"/>
  <c r="AK419"/>
  <c r="H420"/>
  <c r="X420"/>
  <c r="AJ420"/>
  <c r="AK420"/>
  <c r="H421"/>
  <c r="X421"/>
  <c r="AJ421"/>
  <c r="AK421"/>
  <c r="H422"/>
  <c r="X422"/>
  <c r="AJ422"/>
  <c r="AK422"/>
  <c r="H423"/>
  <c r="X423"/>
  <c r="AJ423"/>
  <c r="AK423"/>
  <c r="H424"/>
  <c r="X424"/>
  <c r="AJ424"/>
  <c r="AK424"/>
  <c r="H425"/>
  <c r="X425"/>
  <c r="AJ425"/>
  <c r="AK425"/>
  <c r="H426"/>
  <c r="X426"/>
  <c r="AJ426"/>
  <c r="AK426"/>
  <c r="H427"/>
  <c r="X427"/>
  <c r="AJ427"/>
  <c r="AK427"/>
  <c r="H428"/>
  <c r="X428"/>
  <c r="AJ428"/>
  <c r="AK428"/>
  <c r="H429"/>
  <c r="X429"/>
  <c r="AJ429"/>
  <c r="AK429"/>
  <c r="H430"/>
  <c r="X430"/>
  <c r="AJ430"/>
  <c r="AK430"/>
  <c r="H431"/>
  <c r="X431"/>
  <c r="AJ431"/>
  <c r="AK431"/>
  <c r="H432"/>
  <c r="X432"/>
  <c r="AJ432"/>
  <c r="AK432"/>
  <c r="H433"/>
  <c r="X433"/>
  <c r="AJ433"/>
  <c r="AK433"/>
  <c r="H434"/>
  <c r="X434"/>
  <c r="AJ434"/>
  <c r="AK434"/>
  <c r="H435"/>
  <c r="X435"/>
  <c r="AJ435"/>
  <c r="AK435"/>
  <c r="H436"/>
  <c r="X436"/>
  <c r="AJ436"/>
  <c r="AK436"/>
  <c r="H437"/>
  <c r="X437"/>
  <c r="AJ437"/>
  <c r="AK437"/>
  <c r="H438"/>
  <c r="X438"/>
  <c r="AJ438"/>
  <c r="AK438"/>
  <c r="H439"/>
  <c r="X439"/>
  <c r="AJ439"/>
  <c r="AK439"/>
  <c r="H440"/>
  <c r="X440"/>
  <c r="AJ440"/>
  <c r="AK440"/>
  <c r="H441"/>
  <c r="AJ441"/>
  <c r="AK441"/>
  <c r="H442"/>
  <c r="X442"/>
  <c r="AJ442"/>
  <c r="AK442"/>
  <c r="H443"/>
  <c r="X443"/>
  <c r="AJ443"/>
  <c r="AK443"/>
  <c r="H444"/>
  <c r="X444"/>
  <c r="AJ444"/>
  <c r="AK444"/>
  <c r="H445"/>
  <c r="AJ445"/>
  <c r="AK445"/>
  <c r="H446"/>
  <c r="X446"/>
  <c r="AJ446"/>
  <c r="AK446"/>
  <c r="H447"/>
  <c r="X447"/>
  <c r="AJ447"/>
  <c r="AK447"/>
  <c r="H448"/>
  <c r="X448"/>
  <c r="AJ448"/>
  <c r="AK448"/>
  <c r="H449"/>
  <c r="X449"/>
  <c r="AJ449"/>
  <c r="AK449"/>
  <c r="H450"/>
  <c r="X450"/>
  <c r="AJ450"/>
  <c r="AK450"/>
  <c r="H451"/>
  <c r="X451"/>
  <c r="AJ451"/>
  <c r="AK451"/>
  <c r="H452"/>
  <c r="X452"/>
  <c r="AJ452"/>
  <c r="AK452"/>
  <c r="H453"/>
  <c r="X453"/>
  <c r="AJ453"/>
  <c r="AK453"/>
  <c r="H454"/>
  <c r="X454"/>
  <c r="AJ454"/>
  <c r="AK454"/>
  <c r="H455"/>
  <c r="X455"/>
  <c r="AJ455"/>
  <c r="AK455"/>
  <c r="H456"/>
  <c r="X456"/>
  <c r="AJ456"/>
  <c r="AK456"/>
  <c r="H457"/>
  <c r="X457"/>
  <c r="AJ457"/>
  <c r="AK457"/>
  <c r="H458"/>
  <c r="X458"/>
  <c r="AJ458"/>
  <c r="AK458"/>
  <c r="H459"/>
  <c r="X459"/>
  <c r="AJ459"/>
  <c r="AK459"/>
  <c r="H460"/>
  <c r="X460"/>
  <c r="AJ460"/>
  <c r="AK460"/>
  <c r="H461"/>
  <c r="X461"/>
  <c r="AJ461"/>
  <c r="AK461"/>
  <c r="H462"/>
  <c r="X462"/>
  <c r="AJ462"/>
  <c r="AK462"/>
  <c r="H463"/>
  <c r="X463"/>
  <c r="AJ463"/>
  <c r="AK463"/>
  <c r="H464"/>
  <c r="X464"/>
  <c r="AJ464"/>
  <c r="AK464"/>
  <c r="H465"/>
  <c r="X465"/>
  <c r="AJ465"/>
  <c r="AK465"/>
  <c r="H466"/>
  <c r="X466"/>
  <c r="AJ466"/>
  <c r="AK466"/>
  <c r="H467"/>
  <c r="X467"/>
  <c r="AJ467"/>
  <c r="AK467"/>
  <c r="H468"/>
  <c r="X468"/>
  <c r="AJ468"/>
  <c r="AK468"/>
  <c r="H469"/>
  <c r="X469"/>
  <c r="AJ469"/>
  <c r="AK469"/>
  <c r="H470"/>
  <c r="X470"/>
  <c r="AJ470"/>
  <c r="AK470"/>
  <c r="H471"/>
  <c r="X471"/>
  <c r="AJ471"/>
  <c r="AK471"/>
  <c r="H472"/>
  <c r="X472"/>
  <c r="AJ472"/>
  <c r="AK472"/>
  <c r="H473"/>
  <c r="X473"/>
  <c r="AJ473"/>
  <c r="AK473"/>
  <c r="H474"/>
  <c r="X474"/>
  <c r="AJ474"/>
  <c r="AK474"/>
  <c r="H475"/>
  <c r="X475"/>
  <c r="AJ475"/>
  <c r="AK475"/>
  <c r="H476"/>
  <c r="X476"/>
  <c r="AJ476"/>
  <c r="AK476"/>
  <c r="H477"/>
  <c r="X477"/>
  <c r="AJ477"/>
  <c r="AK477"/>
  <c r="H478"/>
  <c r="X478"/>
  <c r="AJ478"/>
  <c r="AK478"/>
  <c r="H479"/>
  <c r="X479"/>
  <c r="AJ479"/>
  <c r="AK479"/>
  <c r="H480"/>
  <c r="X480"/>
  <c r="AJ480"/>
  <c r="AK480"/>
  <c r="H481"/>
  <c r="X481"/>
  <c r="AJ481"/>
  <c r="AK481"/>
  <c r="H482"/>
  <c r="X482"/>
  <c r="AJ482"/>
  <c r="AK482"/>
  <c r="H483"/>
  <c r="X483"/>
  <c r="AJ483"/>
  <c r="AK483"/>
  <c r="H485"/>
  <c r="X485"/>
  <c r="AJ485"/>
  <c r="AK485"/>
  <c r="H486"/>
  <c r="H487"/>
  <c r="H488"/>
  <c r="X488"/>
  <c r="AJ488"/>
  <c r="AK488"/>
  <c r="H489"/>
  <c r="X489"/>
  <c r="AJ489"/>
  <c r="AK489"/>
  <c r="H490"/>
  <c r="X490"/>
  <c r="AJ490"/>
  <c r="AK490"/>
  <c r="H491"/>
  <c r="X491"/>
  <c r="AJ491"/>
  <c r="AK491"/>
  <c r="H362"/>
  <c r="X362"/>
  <c r="AJ362"/>
  <c r="AK362"/>
  <c r="H363"/>
  <c r="X363"/>
  <c r="AJ363"/>
  <c r="AK363"/>
  <c r="H364"/>
  <c r="X364"/>
  <c r="AJ364"/>
  <c r="AK364"/>
  <c r="H365"/>
  <c r="X365"/>
  <c r="AJ365"/>
  <c r="AK365"/>
  <c r="H366"/>
  <c r="X366"/>
  <c r="AJ366"/>
  <c r="AK366"/>
  <c r="H367"/>
  <c r="X367"/>
  <c r="AJ367"/>
  <c r="AK367"/>
  <c r="H368"/>
  <c r="X368"/>
  <c r="AJ368"/>
  <c r="AK368"/>
  <c r="AK361"/>
  <c r="AJ361"/>
  <c r="X361"/>
  <c r="H361"/>
  <c r="K80"/>
  <c r="I283"/>
  <c r="J283"/>
  <c r="K283"/>
  <c r="L283"/>
  <c r="M283"/>
  <c r="N283"/>
  <c r="O283"/>
  <c r="P283"/>
  <c r="Q283"/>
  <c r="R283"/>
  <c r="S283"/>
  <c r="T283"/>
  <c r="U283"/>
  <c r="W283"/>
  <c r="Y283"/>
  <c r="Z283"/>
  <c r="AA283"/>
  <c r="AB283"/>
  <c r="AC283"/>
  <c r="AD283"/>
  <c r="AE283"/>
  <c r="AF283"/>
  <c r="AG283"/>
  <c r="AH283"/>
  <c r="AI283"/>
  <c r="AL283"/>
  <c r="C283"/>
  <c r="J233" i="9"/>
  <c r="K233"/>
  <c r="D19" i="11" s="1"/>
  <c r="M233" i="9"/>
  <c r="N233"/>
  <c r="O233"/>
  <c r="Q233"/>
  <c r="R233"/>
  <c r="I233"/>
  <c r="C19" i="11" s="1"/>
  <c r="J331" i="9"/>
  <c r="K331"/>
  <c r="D42" i="11" s="1"/>
  <c r="M331" i="9"/>
  <c r="N331"/>
  <c r="O331"/>
  <c r="Q331"/>
  <c r="R331"/>
  <c r="I331"/>
  <c r="C42" i="11" s="1"/>
  <c r="J340" i="9"/>
  <c r="K340"/>
  <c r="D43" i="11" s="1"/>
  <c r="M340" i="9"/>
  <c r="N340"/>
  <c r="O340"/>
  <c r="Q340"/>
  <c r="R340"/>
  <c r="I340"/>
  <c r="C43" i="11" s="1"/>
  <c r="J343" i="9"/>
  <c r="K343"/>
  <c r="D44" i="11" s="1"/>
  <c r="M343" i="9"/>
  <c r="N343"/>
  <c r="O343"/>
  <c r="Q343"/>
  <c r="R343"/>
  <c r="I343"/>
  <c r="C44" i="11" s="1"/>
  <c r="C8" s="1"/>
  <c r="J355" i="9"/>
  <c r="K355"/>
  <c r="D45" i="11" s="1"/>
  <c r="M355" i="9"/>
  <c r="N355"/>
  <c r="O355"/>
  <c r="Q355"/>
  <c r="R355"/>
  <c r="I355"/>
  <c r="C45" i="11" s="1"/>
  <c r="L339" i="9"/>
  <c r="P339" s="1"/>
  <c r="I333" i="10"/>
  <c r="J333"/>
  <c r="K333"/>
  <c r="L333"/>
  <c r="M333"/>
  <c r="N333"/>
  <c r="O333"/>
  <c r="P333"/>
  <c r="Q333"/>
  <c r="R333"/>
  <c r="S333"/>
  <c r="T333"/>
  <c r="U333"/>
  <c r="W333"/>
  <c r="Y333"/>
  <c r="Z333"/>
  <c r="AA333"/>
  <c r="AB333"/>
  <c r="AC333"/>
  <c r="AD333"/>
  <c r="AE333"/>
  <c r="AF333"/>
  <c r="AG333"/>
  <c r="AH333"/>
  <c r="AI333"/>
  <c r="AL333"/>
  <c r="AM333"/>
  <c r="AN333"/>
  <c r="C333"/>
  <c r="I342"/>
  <c r="J342"/>
  <c r="K342"/>
  <c r="L342"/>
  <c r="M342"/>
  <c r="N342"/>
  <c r="O342"/>
  <c r="P342"/>
  <c r="Q342"/>
  <c r="R342"/>
  <c r="S342"/>
  <c r="T342"/>
  <c r="U342"/>
  <c r="W342"/>
  <c r="Y342"/>
  <c r="Z342"/>
  <c r="AA342"/>
  <c r="AB342"/>
  <c r="AC342"/>
  <c r="AD342"/>
  <c r="AE342"/>
  <c r="AF342"/>
  <c r="AG342"/>
  <c r="AH342"/>
  <c r="AI342"/>
  <c r="AL342"/>
  <c r="C342"/>
  <c r="I345"/>
  <c r="J345"/>
  <c r="K345"/>
  <c r="L345"/>
  <c r="M345"/>
  <c r="N345"/>
  <c r="O345"/>
  <c r="P345"/>
  <c r="Q345"/>
  <c r="R345"/>
  <c r="S345"/>
  <c r="T345"/>
  <c r="U345"/>
  <c r="W345"/>
  <c r="Y345"/>
  <c r="Z345"/>
  <c r="AA345"/>
  <c r="AB345"/>
  <c r="AC345"/>
  <c r="AD345"/>
  <c r="AE345"/>
  <c r="AF345"/>
  <c r="AG345"/>
  <c r="AH345"/>
  <c r="AI345"/>
  <c r="AL345"/>
  <c r="C345"/>
  <c r="I357"/>
  <c r="J357"/>
  <c r="K357"/>
  <c r="L357"/>
  <c r="M357"/>
  <c r="N357"/>
  <c r="O357"/>
  <c r="P357"/>
  <c r="Q357"/>
  <c r="R357"/>
  <c r="S357"/>
  <c r="T357"/>
  <c r="U357"/>
  <c r="W357"/>
  <c r="Y357"/>
  <c r="Z357"/>
  <c r="AA357"/>
  <c r="AB357"/>
  <c r="AC357"/>
  <c r="AD357"/>
  <c r="AE357"/>
  <c r="AF357"/>
  <c r="AG357"/>
  <c r="AH357"/>
  <c r="AI357"/>
  <c r="AL357"/>
  <c r="AM357"/>
  <c r="AN357"/>
  <c r="C357"/>
  <c r="O325"/>
  <c r="H355"/>
  <c r="H356"/>
  <c r="G356" s="1"/>
  <c r="H354"/>
  <c r="H353"/>
  <c r="H352"/>
  <c r="H351"/>
  <c r="H350"/>
  <c r="H349"/>
  <c r="H348"/>
  <c r="AK357"/>
  <c r="AJ357"/>
  <c r="H347"/>
  <c r="G347" s="1"/>
  <c r="AK345"/>
  <c r="AJ345"/>
  <c r="H344"/>
  <c r="AK341"/>
  <c r="AJ341"/>
  <c r="X341"/>
  <c r="H341"/>
  <c r="H340"/>
  <c r="H339"/>
  <c r="H338"/>
  <c r="H337"/>
  <c r="H336"/>
  <c r="AJ342"/>
  <c r="H335"/>
  <c r="G335" s="1"/>
  <c r="H332"/>
  <c r="H331"/>
  <c r="G331" s="1"/>
  <c r="AK333"/>
  <c r="AJ333"/>
  <c r="H330"/>
  <c r="G330" s="1"/>
  <c r="J326" i="9"/>
  <c r="K326"/>
  <c r="D41" i="11" s="1"/>
  <c r="M326" i="9"/>
  <c r="N326"/>
  <c r="O326"/>
  <c r="Q326"/>
  <c r="R326"/>
  <c r="I326"/>
  <c r="C41" i="11" s="1"/>
  <c r="J323" i="9"/>
  <c r="K323"/>
  <c r="D40" i="11" s="1"/>
  <c r="M323" i="9"/>
  <c r="N323"/>
  <c r="O323"/>
  <c r="Q323"/>
  <c r="R323"/>
  <c r="I323"/>
  <c r="C40" i="11" s="1"/>
  <c r="J320" i="9"/>
  <c r="K320"/>
  <c r="D39" i="11" s="1"/>
  <c r="M320" i="9"/>
  <c r="N320"/>
  <c r="O320"/>
  <c r="Q320"/>
  <c r="R320"/>
  <c r="I320"/>
  <c r="C39" i="11" s="1"/>
  <c r="I322" i="10"/>
  <c r="J322"/>
  <c r="K322"/>
  <c r="L322"/>
  <c r="M322"/>
  <c r="N322"/>
  <c r="O322"/>
  <c r="P322"/>
  <c r="Q322"/>
  <c r="R322"/>
  <c r="S322"/>
  <c r="T322"/>
  <c r="U322"/>
  <c r="W322"/>
  <c r="Y322"/>
  <c r="Z322"/>
  <c r="AA322"/>
  <c r="AB322"/>
  <c r="AC322"/>
  <c r="AD322"/>
  <c r="AE322"/>
  <c r="AF322"/>
  <c r="AG322"/>
  <c r="AH322"/>
  <c r="AI322"/>
  <c r="AL322"/>
  <c r="C322"/>
  <c r="I325"/>
  <c r="J325"/>
  <c r="K325"/>
  <c r="L325"/>
  <c r="M325"/>
  <c r="N325"/>
  <c r="P325"/>
  <c r="Q325"/>
  <c r="R325"/>
  <c r="S325"/>
  <c r="T325"/>
  <c r="U325"/>
  <c r="W325"/>
  <c r="Y325"/>
  <c r="Z325"/>
  <c r="AA325"/>
  <c r="AB325"/>
  <c r="AC325"/>
  <c r="AD325"/>
  <c r="AE325"/>
  <c r="AF325"/>
  <c r="AG325"/>
  <c r="AH325"/>
  <c r="AI325"/>
  <c r="AL325"/>
  <c r="C325"/>
  <c r="I328"/>
  <c r="J328"/>
  <c r="K328"/>
  <c r="L328"/>
  <c r="M328"/>
  <c r="N328"/>
  <c r="O328"/>
  <c r="P328"/>
  <c r="Q328"/>
  <c r="R328"/>
  <c r="S328"/>
  <c r="T328"/>
  <c r="U328"/>
  <c r="W328"/>
  <c r="Y328"/>
  <c r="Z328"/>
  <c r="AA328"/>
  <c r="AB328"/>
  <c r="AC328"/>
  <c r="AD328"/>
  <c r="AE328"/>
  <c r="AF328"/>
  <c r="AG328"/>
  <c r="AH328"/>
  <c r="AI328"/>
  <c r="AL328"/>
  <c r="C328"/>
  <c r="AK328"/>
  <c r="AJ328"/>
  <c r="H327"/>
  <c r="G327" s="1"/>
  <c r="AK325"/>
  <c r="AJ325"/>
  <c r="H324"/>
  <c r="G324" s="1"/>
  <c r="AK322"/>
  <c r="AJ322"/>
  <c r="H321"/>
  <c r="G321" s="1"/>
  <c r="P671" i="9" l="1"/>
  <c r="P691" s="1"/>
  <c r="L691"/>
  <c r="G528" i="10"/>
  <c r="R357" i="9"/>
  <c r="O357"/>
  <c r="M357"/>
  <c r="AJ494" i="10"/>
  <c r="AI494"/>
  <c r="I494"/>
  <c r="U494"/>
  <c r="X494"/>
  <c r="AK494"/>
  <c r="K494"/>
  <c r="G492"/>
  <c r="L490" i="9" s="1"/>
  <c r="P490" s="1"/>
  <c r="L523"/>
  <c r="P523" s="1"/>
  <c r="P359"/>
  <c r="L384"/>
  <c r="P384" s="1"/>
  <c r="AK342" i="10"/>
  <c r="AK522"/>
  <c r="AK528"/>
  <c r="AK532"/>
  <c r="AK558"/>
  <c r="AK605"/>
  <c r="AK613"/>
  <c r="AK620"/>
  <c r="AK624"/>
  <c r="AK632"/>
  <c r="AK636"/>
  <c r="AK640"/>
  <c r="AK643"/>
  <c r="AK650"/>
  <c r="AK653"/>
  <c r="AK656"/>
  <c r="AK659"/>
  <c r="AK663"/>
  <c r="AK676"/>
  <c r="AK679"/>
  <c r="AK689"/>
  <c r="AK692"/>
  <c r="AK550"/>
  <c r="AK568"/>
  <c r="AK571"/>
  <c r="AK574"/>
  <c r="AK588"/>
  <c r="AK591"/>
  <c r="AK594"/>
  <c r="AK602"/>
  <c r="G322"/>
  <c r="G328"/>
  <c r="AJ550"/>
  <c r="AJ568"/>
  <c r="AJ571"/>
  <c r="AJ574"/>
  <c r="AJ588"/>
  <c r="AJ591"/>
  <c r="AJ594"/>
  <c r="AJ602"/>
  <c r="G325"/>
  <c r="G345"/>
  <c r="AJ522"/>
  <c r="AJ528"/>
  <c r="AJ532"/>
  <c r="AJ605"/>
  <c r="AJ613"/>
  <c r="AJ620"/>
  <c r="AJ624"/>
  <c r="AJ632"/>
  <c r="AJ636"/>
  <c r="AJ640"/>
  <c r="AJ643"/>
  <c r="AJ650"/>
  <c r="AJ653"/>
  <c r="AJ656"/>
  <c r="AJ659"/>
  <c r="AJ663"/>
  <c r="AJ676"/>
  <c r="AJ679"/>
  <c r="AJ689"/>
  <c r="AJ692"/>
  <c r="G348"/>
  <c r="G352"/>
  <c r="G354"/>
  <c r="G336"/>
  <c r="G338"/>
  <c r="G340"/>
  <c r="G349"/>
  <c r="G351"/>
  <c r="G353"/>
  <c r="G332"/>
  <c r="G337"/>
  <c r="G339"/>
  <c r="G350"/>
  <c r="G355"/>
  <c r="AN359"/>
  <c r="AN12" s="1"/>
  <c r="AH359"/>
  <c r="AF359"/>
  <c r="AD359"/>
  <c r="Z359"/>
  <c r="W359"/>
  <c r="R359"/>
  <c r="N359"/>
  <c r="J359"/>
  <c r="AL359"/>
  <c r="AG359"/>
  <c r="AE359"/>
  <c r="AC359"/>
  <c r="AA359"/>
  <c r="Y359"/>
  <c r="T359"/>
  <c r="P359"/>
  <c r="L359"/>
  <c r="AM359"/>
  <c r="AM12" s="1"/>
  <c r="L329" i="9"/>
  <c r="P329" s="1"/>
  <c r="H333" i="10"/>
  <c r="H357"/>
  <c r="H322"/>
  <c r="H328"/>
  <c r="H342"/>
  <c r="H345"/>
  <c r="H325"/>
  <c r="K357" i="9"/>
  <c r="H556" i="10"/>
  <c r="AJ558"/>
  <c r="H628"/>
  <c r="X322"/>
  <c r="X333"/>
  <c r="M547"/>
  <c r="O547"/>
  <c r="H562"/>
  <c r="X568"/>
  <c r="X571"/>
  <c r="X574"/>
  <c r="X591"/>
  <c r="X594"/>
  <c r="X602"/>
  <c r="I585"/>
  <c r="M585"/>
  <c r="S585"/>
  <c r="AI585"/>
  <c r="X632"/>
  <c r="X636"/>
  <c r="X640"/>
  <c r="X643"/>
  <c r="X650"/>
  <c r="X653"/>
  <c r="X656"/>
  <c r="X659"/>
  <c r="X663"/>
  <c r="X676"/>
  <c r="X679"/>
  <c r="X689"/>
  <c r="X692"/>
  <c r="X605"/>
  <c r="H626"/>
  <c r="X325"/>
  <c r="X328"/>
  <c r="X345"/>
  <c r="X357"/>
  <c r="X522"/>
  <c r="X532"/>
  <c r="K547"/>
  <c r="S547"/>
  <c r="AI547"/>
  <c r="X550"/>
  <c r="S558"/>
  <c r="H563"/>
  <c r="X588"/>
  <c r="K585"/>
  <c r="O585"/>
  <c r="Q585"/>
  <c r="X613"/>
  <c r="X624"/>
  <c r="X620"/>
  <c r="AB629"/>
  <c r="H383"/>
  <c r="U359"/>
  <c r="H602"/>
  <c r="X342"/>
  <c r="M564"/>
  <c r="AJ564"/>
  <c r="P552" i="9"/>
  <c r="P556"/>
  <c r="P562"/>
  <c r="X585" i="10"/>
  <c r="AK585"/>
  <c r="X617"/>
  <c r="AK617"/>
  <c r="AJ547"/>
  <c r="H546"/>
  <c r="H547" s="1"/>
  <c r="P530" i="9"/>
  <c r="L548"/>
  <c r="F54" i="11" s="1"/>
  <c r="P520" i="9"/>
  <c r="H554" i="10"/>
  <c r="X670"/>
  <c r="AK503"/>
  <c r="X517"/>
  <c r="AK629"/>
  <c r="H627"/>
  <c r="P615" i="9"/>
  <c r="P622"/>
  <c r="P627"/>
  <c r="P634"/>
  <c r="P638"/>
  <c r="P648"/>
  <c r="P661"/>
  <c r="P668"/>
  <c r="P583"/>
  <c r="AK670" i="10"/>
  <c r="P611" i="9"/>
  <c r="P674"/>
  <c r="P687"/>
  <c r="H503" i="10"/>
  <c r="X503"/>
  <c r="AJ503"/>
  <c r="AK517"/>
  <c r="H517"/>
  <c r="X547"/>
  <c r="H560"/>
  <c r="AI564"/>
  <c r="AK564"/>
  <c r="AJ585"/>
  <c r="P566" i="9"/>
  <c r="P600"/>
  <c r="L589"/>
  <c r="F63" i="11" s="1"/>
  <c r="L572" i="9"/>
  <c r="F60" i="11" s="1"/>
  <c r="AJ617" i="10"/>
  <c r="H670"/>
  <c r="AJ670"/>
  <c r="L657" i="9"/>
  <c r="F79" i="11" s="1"/>
  <c r="L654" i="9"/>
  <c r="F78" i="11" s="1"/>
  <c r="L641" i="9"/>
  <c r="F75" i="11" s="1"/>
  <c r="L611" i="9"/>
  <c r="F67" i="11" s="1"/>
  <c r="P522" i="9"/>
  <c r="P526" s="1"/>
  <c r="L526"/>
  <c r="F51" i="11" s="1"/>
  <c r="AJ517" i="10"/>
  <c r="AK547"/>
  <c r="L530" i="9"/>
  <c r="F52" i="11" s="1"/>
  <c r="L520" i="9"/>
  <c r="F50" i="11" s="1"/>
  <c r="L562" i="9"/>
  <c r="F57" i="11" s="1"/>
  <c r="L600" i="9"/>
  <c r="F65" i="11" s="1"/>
  <c r="L592" i="9"/>
  <c r="F64" i="11" s="1"/>
  <c r="L586" i="9"/>
  <c r="F62" i="11" s="1"/>
  <c r="L583" i="9"/>
  <c r="F61" i="11" s="1"/>
  <c r="L569" i="9"/>
  <c r="F59" i="11" s="1"/>
  <c r="L566" i="9"/>
  <c r="F58" i="11" s="1"/>
  <c r="C359" i="10"/>
  <c r="L690" i="9"/>
  <c r="F85" i="11" s="1"/>
  <c r="L687" i="9"/>
  <c r="F84" i="11" s="1"/>
  <c r="L677" i="9"/>
  <c r="F83" i="11" s="1"/>
  <c r="L674" i="9"/>
  <c r="F82" i="11" s="1"/>
  <c r="L668" i="9"/>
  <c r="F81" i="11" s="1"/>
  <c r="L661" i="9"/>
  <c r="F80" i="11" s="1"/>
  <c r="L651" i="9"/>
  <c r="F77" i="11" s="1"/>
  <c r="L648" i="9"/>
  <c r="F76" i="11" s="1"/>
  <c r="L638" i="9"/>
  <c r="F74" i="11" s="1"/>
  <c r="L634" i="9"/>
  <c r="F73" i="11" s="1"/>
  <c r="L630" i="9"/>
  <c r="F72" i="11" s="1"/>
  <c r="L627" i="9"/>
  <c r="F71" i="11" s="1"/>
  <c r="L622" i="9"/>
  <c r="F70" i="11" s="1"/>
  <c r="L618" i="9"/>
  <c r="F69" i="11" s="1"/>
  <c r="L615" i="9"/>
  <c r="F68" i="11" s="1"/>
  <c r="L603" i="9"/>
  <c r="F66" i="11" s="1"/>
  <c r="AJ144" i="10"/>
  <c r="H557"/>
  <c r="H558" s="1"/>
  <c r="L556" i="9"/>
  <c r="F56" i="11" s="1"/>
  <c r="L552" i="9"/>
  <c r="F55" i="11" s="1"/>
  <c r="M629" i="10"/>
  <c r="AJ629"/>
  <c r="AK144"/>
  <c r="H579"/>
  <c r="H585" s="1"/>
  <c r="P545" i="9"/>
  <c r="L545"/>
  <c r="F53" i="11" s="1"/>
  <c r="I547" i="10"/>
  <c r="P515" i="9"/>
  <c r="L515"/>
  <c r="F49" i="11" s="1"/>
  <c r="P501" i="9"/>
  <c r="L501"/>
  <c r="F48" i="11" s="1"/>
  <c r="H484" i="10"/>
  <c r="J317" i="9"/>
  <c r="K317"/>
  <c r="D38" i="11" s="1"/>
  <c r="M317" i="9"/>
  <c r="N317"/>
  <c r="O317"/>
  <c r="Q317"/>
  <c r="R317"/>
  <c r="I317"/>
  <c r="C38" i="11" s="1"/>
  <c r="J312" i="9"/>
  <c r="K312"/>
  <c r="D37" i="11" s="1"/>
  <c r="M312" i="9"/>
  <c r="N312"/>
  <c r="O312"/>
  <c r="Q312"/>
  <c r="R312"/>
  <c r="I312"/>
  <c r="C37" i="11" s="1"/>
  <c r="J308" i="9"/>
  <c r="K308"/>
  <c r="D36" i="11" s="1"/>
  <c r="M308" i="9"/>
  <c r="N308"/>
  <c r="O308"/>
  <c r="Q308"/>
  <c r="R308"/>
  <c r="I308"/>
  <c r="J304"/>
  <c r="K304"/>
  <c r="D35" i="11" s="1"/>
  <c r="M304" i="9"/>
  <c r="N304"/>
  <c r="O304"/>
  <c r="Q304"/>
  <c r="R304"/>
  <c r="I304"/>
  <c r="C35" i="11" s="1"/>
  <c r="J300" i="9"/>
  <c r="K300"/>
  <c r="D34" i="11" s="1"/>
  <c r="M300" i="9"/>
  <c r="N300"/>
  <c r="O300"/>
  <c r="Q300"/>
  <c r="R300"/>
  <c r="I300"/>
  <c r="C34" i="11" s="1"/>
  <c r="J297" i="9"/>
  <c r="K297"/>
  <c r="D33" i="11" s="1"/>
  <c r="M297" i="9"/>
  <c r="N297"/>
  <c r="O297"/>
  <c r="Q297"/>
  <c r="R297"/>
  <c r="I297"/>
  <c r="C33" i="11" s="1"/>
  <c r="I319" i="10"/>
  <c r="J319"/>
  <c r="K319"/>
  <c r="L319"/>
  <c r="M319"/>
  <c r="N319"/>
  <c r="O319"/>
  <c r="P319"/>
  <c r="Q319"/>
  <c r="R319"/>
  <c r="S319"/>
  <c r="T319"/>
  <c r="U319"/>
  <c r="W319"/>
  <c r="Y319"/>
  <c r="Z319"/>
  <c r="AA319"/>
  <c r="AB319"/>
  <c r="AC319"/>
  <c r="AD319"/>
  <c r="AE319"/>
  <c r="AF319"/>
  <c r="AG319"/>
  <c r="AH319"/>
  <c r="AI319"/>
  <c r="AL319"/>
  <c r="AM319"/>
  <c r="AN319"/>
  <c r="C319"/>
  <c r="H318"/>
  <c r="H317"/>
  <c r="AK319"/>
  <c r="AJ319"/>
  <c r="H316"/>
  <c r="G316" s="1"/>
  <c r="I314"/>
  <c r="J314"/>
  <c r="K314"/>
  <c r="L314"/>
  <c r="M314"/>
  <c r="N314"/>
  <c r="O314"/>
  <c r="P314"/>
  <c r="Q314"/>
  <c r="R314"/>
  <c r="S314"/>
  <c r="U314"/>
  <c r="W314"/>
  <c r="Y314"/>
  <c r="Z314"/>
  <c r="AA314"/>
  <c r="AB314"/>
  <c r="AC314"/>
  <c r="AD314"/>
  <c r="AE314"/>
  <c r="AF314"/>
  <c r="AG314"/>
  <c r="AH314"/>
  <c r="AI314"/>
  <c r="AL314"/>
  <c r="C314"/>
  <c r="H313"/>
  <c r="H312"/>
  <c r="I310"/>
  <c r="J310"/>
  <c r="K310"/>
  <c r="L310"/>
  <c r="M310"/>
  <c r="N310"/>
  <c r="O310"/>
  <c r="P310"/>
  <c r="Q310"/>
  <c r="R310"/>
  <c r="S310"/>
  <c r="T310"/>
  <c r="U310"/>
  <c r="W310"/>
  <c r="Y310"/>
  <c r="Z310"/>
  <c r="AA310"/>
  <c r="AB310"/>
  <c r="AC310"/>
  <c r="AD310"/>
  <c r="AE310"/>
  <c r="AF310"/>
  <c r="AG310"/>
  <c r="AH310"/>
  <c r="AI310"/>
  <c r="AL310"/>
  <c r="AM310"/>
  <c r="AN310"/>
  <c r="C310"/>
  <c r="H309"/>
  <c r="AK310"/>
  <c r="AJ310"/>
  <c r="H308"/>
  <c r="G308" s="1"/>
  <c r="I306"/>
  <c r="J306"/>
  <c r="K306"/>
  <c r="L306"/>
  <c r="M306"/>
  <c r="N306"/>
  <c r="O306"/>
  <c r="P306"/>
  <c r="Q306"/>
  <c r="R306"/>
  <c r="S306"/>
  <c r="T306"/>
  <c r="U306"/>
  <c r="W306"/>
  <c r="Y306"/>
  <c r="Z306"/>
  <c r="AA306"/>
  <c r="AB306"/>
  <c r="AC306"/>
  <c r="AD306"/>
  <c r="AE306"/>
  <c r="AF306"/>
  <c r="AG306"/>
  <c r="AH306"/>
  <c r="AI306"/>
  <c r="AL306"/>
  <c r="AM306"/>
  <c r="AN306"/>
  <c r="C306"/>
  <c r="H305"/>
  <c r="AK306"/>
  <c r="AJ306"/>
  <c r="H304"/>
  <c r="G304" s="1"/>
  <c r="I302"/>
  <c r="J302"/>
  <c r="K302"/>
  <c r="L302"/>
  <c r="M302"/>
  <c r="N302"/>
  <c r="O302"/>
  <c r="P302"/>
  <c r="Q302"/>
  <c r="R302"/>
  <c r="S302"/>
  <c r="T302"/>
  <c r="U302"/>
  <c r="W302"/>
  <c r="Y302"/>
  <c r="Z302"/>
  <c r="AA302"/>
  <c r="AB302"/>
  <c r="AC302"/>
  <c r="AD302"/>
  <c r="AE302"/>
  <c r="AF302"/>
  <c r="AG302"/>
  <c r="AH302"/>
  <c r="AI302"/>
  <c r="AL302"/>
  <c r="AM302"/>
  <c r="AN302"/>
  <c r="C302"/>
  <c r="AK302"/>
  <c r="AJ302"/>
  <c r="H301"/>
  <c r="G301" s="1"/>
  <c r="I299"/>
  <c r="J299"/>
  <c r="K299"/>
  <c r="L299"/>
  <c r="N299"/>
  <c r="P299"/>
  <c r="Q299"/>
  <c r="R299"/>
  <c r="S299"/>
  <c r="T299"/>
  <c r="U299"/>
  <c r="W299"/>
  <c r="X299"/>
  <c r="Y299"/>
  <c r="Z299"/>
  <c r="AA299"/>
  <c r="AB299"/>
  <c r="AC299"/>
  <c r="AD299"/>
  <c r="AE299"/>
  <c r="AF299"/>
  <c r="AG299"/>
  <c r="AH299"/>
  <c r="AL299"/>
  <c r="C299"/>
  <c r="AK298"/>
  <c r="AJ298"/>
  <c r="AI298"/>
  <c r="AK297"/>
  <c r="AK296"/>
  <c r="AJ297"/>
  <c r="AJ296"/>
  <c r="M297"/>
  <c r="M296"/>
  <c r="H296" s="1"/>
  <c r="G296" s="1"/>
  <c r="H297"/>
  <c r="H298"/>
  <c r="J292" i="9"/>
  <c r="K292"/>
  <c r="D32" i="11" s="1"/>
  <c r="M292" i="9"/>
  <c r="N292"/>
  <c r="O292"/>
  <c r="Q292"/>
  <c r="R292"/>
  <c r="J289"/>
  <c r="K289"/>
  <c r="D31" i="11" s="1"/>
  <c r="M289" i="9"/>
  <c r="N289"/>
  <c r="O289"/>
  <c r="Q289"/>
  <c r="R289"/>
  <c r="K286"/>
  <c r="D30" i="11" s="1"/>
  <c r="M286" i="9"/>
  <c r="N286"/>
  <c r="O286"/>
  <c r="Q286"/>
  <c r="R286"/>
  <c r="J281"/>
  <c r="K281"/>
  <c r="D29" i="11" s="1"/>
  <c r="M281" i="9"/>
  <c r="N281"/>
  <c r="O281"/>
  <c r="Q281"/>
  <c r="R281"/>
  <c r="I292"/>
  <c r="C32" i="11" s="1"/>
  <c r="I289" i="9"/>
  <c r="C31" i="11" s="1"/>
  <c r="I286" i="9"/>
  <c r="C30" i="11" s="1"/>
  <c r="I281" i="9"/>
  <c r="C29" i="11" s="1"/>
  <c r="I294" i="10"/>
  <c r="J294"/>
  <c r="K294"/>
  <c r="L294"/>
  <c r="M294"/>
  <c r="N294"/>
  <c r="O294"/>
  <c r="P294"/>
  <c r="Q294"/>
  <c r="R294"/>
  <c r="S294"/>
  <c r="T294"/>
  <c r="U294"/>
  <c r="W294"/>
  <c r="Y294"/>
  <c r="Z294"/>
  <c r="AA294"/>
  <c r="AB294"/>
  <c r="AC294"/>
  <c r="AD294"/>
  <c r="AE294"/>
  <c r="AF294"/>
  <c r="AG294"/>
  <c r="AH294"/>
  <c r="AI294"/>
  <c r="AL294"/>
  <c r="C294"/>
  <c r="I291"/>
  <c r="J291"/>
  <c r="K291"/>
  <c r="L291"/>
  <c r="M291"/>
  <c r="N291"/>
  <c r="O291"/>
  <c r="P291"/>
  <c r="Q291"/>
  <c r="R291"/>
  <c r="S291"/>
  <c r="T291"/>
  <c r="U291"/>
  <c r="W291"/>
  <c r="Y291"/>
  <c r="Z291"/>
  <c r="AA291"/>
  <c r="AB291"/>
  <c r="AC291"/>
  <c r="AD291"/>
  <c r="AE291"/>
  <c r="AF291"/>
  <c r="AG291"/>
  <c r="AH291"/>
  <c r="AI291"/>
  <c r="AL291"/>
  <c r="C291"/>
  <c r="H293"/>
  <c r="G293" s="1"/>
  <c r="AK291"/>
  <c r="AJ291"/>
  <c r="H290"/>
  <c r="G290" s="1"/>
  <c r="I288"/>
  <c r="J288"/>
  <c r="K288"/>
  <c r="L288"/>
  <c r="M288"/>
  <c r="N288"/>
  <c r="O288"/>
  <c r="P288"/>
  <c r="Q288"/>
  <c r="R288"/>
  <c r="S288"/>
  <c r="T288"/>
  <c r="U288"/>
  <c r="W288"/>
  <c r="Y288"/>
  <c r="Z288"/>
  <c r="AA288"/>
  <c r="AB288"/>
  <c r="AC288"/>
  <c r="AD288"/>
  <c r="AE288"/>
  <c r="AF288"/>
  <c r="AG288"/>
  <c r="AH288"/>
  <c r="AI288"/>
  <c r="AL288"/>
  <c r="H287"/>
  <c r="H286"/>
  <c r="AK288"/>
  <c r="AJ288"/>
  <c r="H285"/>
  <c r="G285" s="1"/>
  <c r="C286"/>
  <c r="H280"/>
  <c r="H281"/>
  <c r="H282"/>
  <c r="H279"/>
  <c r="H278"/>
  <c r="H277"/>
  <c r="J273" i="9"/>
  <c r="K273"/>
  <c r="D28" i="11" s="1"/>
  <c r="M273" i="9"/>
  <c r="N273"/>
  <c r="O273"/>
  <c r="Q273"/>
  <c r="R273"/>
  <c r="I273"/>
  <c r="C28" i="11" s="1"/>
  <c r="K270" i="9"/>
  <c r="D27" i="11" s="1"/>
  <c r="M270" i="9"/>
  <c r="N270"/>
  <c r="O270"/>
  <c r="Q270"/>
  <c r="R270"/>
  <c r="I270"/>
  <c r="C27" i="11" s="1"/>
  <c r="J264" i="9"/>
  <c r="K264"/>
  <c r="D26" i="11" s="1"/>
  <c r="M264" i="9"/>
  <c r="N264"/>
  <c r="O264"/>
  <c r="Q264"/>
  <c r="R264"/>
  <c r="I264"/>
  <c r="C26" i="11" s="1"/>
  <c r="J261" i="9"/>
  <c r="K261"/>
  <c r="D25" i="11" s="1"/>
  <c r="M261" i="9"/>
  <c r="N261"/>
  <c r="O261"/>
  <c r="Q261"/>
  <c r="R261"/>
  <c r="I261"/>
  <c r="C25" i="11" s="1"/>
  <c r="I275" i="10"/>
  <c r="J275"/>
  <c r="K275"/>
  <c r="L275"/>
  <c r="M275"/>
  <c r="N275"/>
  <c r="O275"/>
  <c r="P275"/>
  <c r="Q275"/>
  <c r="R275"/>
  <c r="S275"/>
  <c r="T275"/>
  <c r="U275"/>
  <c r="W275"/>
  <c r="Y275"/>
  <c r="Z275"/>
  <c r="AA275"/>
  <c r="AB275"/>
  <c r="AC275"/>
  <c r="AD275"/>
  <c r="AE275"/>
  <c r="AF275"/>
  <c r="AG275"/>
  <c r="AH275"/>
  <c r="AI275"/>
  <c r="AL275"/>
  <c r="C275"/>
  <c r="AK275"/>
  <c r="AJ275"/>
  <c r="H274"/>
  <c r="G274" s="1"/>
  <c r="I272"/>
  <c r="J272"/>
  <c r="K272"/>
  <c r="L272"/>
  <c r="M272"/>
  <c r="N272"/>
  <c r="O272"/>
  <c r="P272"/>
  <c r="Q272"/>
  <c r="R272"/>
  <c r="S272"/>
  <c r="T272"/>
  <c r="U272"/>
  <c r="W272"/>
  <c r="Y272"/>
  <c r="Z272"/>
  <c r="AA272"/>
  <c r="AB272"/>
  <c r="AC272"/>
  <c r="AD272"/>
  <c r="AE272"/>
  <c r="AF272"/>
  <c r="AG272"/>
  <c r="AH272"/>
  <c r="AI272"/>
  <c r="AL272"/>
  <c r="H271"/>
  <c r="H270"/>
  <c r="H269"/>
  <c r="H268"/>
  <c r="C271"/>
  <c r="C268"/>
  <c r="I266"/>
  <c r="J266"/>
  <c r="K266"/>
  <c r="L266"/>
  <c r="M266"/>
  <c r="N266"/>
  <c r="O266"/>
  <c r="P266"/>
  <c r="Q266"/>
  <c r="R266"/>
  <c r="S266"/>
  <c r="T266"/>
  <c r="U266"/>
  <c r="W266"/>
  <c r="Y266"/>
  <c r="Z266"/>
  <c r="AA266"/>
  <c r="AB266"/>
  <c r="AC266"/>
  <c r="AD266"/>
  <c r="AE266"/>
  <c r="AF266"/>
  <c r="AG266"/>
  <c r="AH266"/>
  <c r="AI266"/>
  <c r="AL266"/>
  <c r="C266"/>
  <c r="AK266"/>
  <c r="AJ266"/>
  <c r="H265"/>
  <c r="G265" s="1"/>
  <c r="AL263"/>
  <c r="I263"/>
  <c r="J263"/>
  <c r="K263"/>
  <c r="L263"/>
  <c r="M263"/>
  <c r="N263"/>
  <c r="O263"/>
  <c r="P263"/>
  <c r="Q263"/>
  <c r="R263"/>
  <c r="S263"/>
  <c r="T263"/>
  <c r="U263"/>
  <c r="W263"/>
  <c r="Y263"/>
  <c r="Z263"/>
  <c r="AA263"/>
  <c r="AB263"/>
  <c r="AC263"/>
  <c r="AD263"/>
  <c r="AE263"/>
  <c r="AF263"/>
  <c r="AG263"/>
  <c r="AH263"/>
  <c r="AI263"/>
  <c r="C263"/>
  <c r="AK263"/>
  <c r="AJ263"/>
  <c r="H262"/>
  <c r="G262" s="1"/>
  <c r="C161"/>
  <c r="AK157"/>
  <c r="AI157"/>
  <c r="AJ157"/>
  <c r="O157"/>
  <c r="K157"/>
  <c r="D10" i="11"/>
  <c r="C10"/>
  <c r="J245" i="9"/>
  <c r="K245"/>
  <c r="D23" i="11" s="1"/>
  <c r="M245" i="9"/>
  <c r="N245"/>
  <c r="O245"/>
  <c r="Q245"/>
  <c r="R245"/>
  <c r="I245"/>
  <c r="C23" i="11" s="1"/>
  <c r="J242" i="9"/>
  <c r="K242"/>
  <c r="D22" i="11" s="1"/>
  <c r="M242" i="9"/>
  <c r="N242"/>
  <c r="O242"/>
  <c r="Q242"/>
  <c r="R242"/>
  <c r="I242"/>
  <c r="C22" i="11" s="1"/>
  <c r="J258" i="9"/>
  <c r="K258"/>
  <c r="D24" i="11" s="1"/>
  <c r="M258" i="9"/>
  <c r="N258"/>
  <c r="O258"/>
  <c r="Q258"/>
  <c r="R258"/>
  <c r="I258"/>
  <c r="C24" i="11" s="1"/>
  <c r="L257" i="9"/>
  <c r="P257" s="1"/>
  <c r="J260" i="10"/>
  <c r="L260"/>
  <c r="N260"/>
  <c r="P260"/>
  <c r="R260"/>
  <c r="T260"/>
  <c r="W260"/>
  <c r="Y260"/>
  <c r="Z260"/>
  <c r="AA260"/>
  <c r="AB260"/>
  <c r="AC260"/>
  <c r="AD260"/>
  <c r="AE260"/>
  <c r="AF260"/>
  <c r="AG260"/>
  <c r="AH260"/>
  <c r="AL260"/>
  <c r="C260"/>
  <c r="U259"/>
  <c r="H250"/>
  <c r="G250" s="1"/>
  <c r="H251"/>
  <c r="G251" s="1"/>
  <c r="H252"/>
  <c r="G252" s="1"/>
  <c r="H253"/>
  <c r="G253" s="1"/>
  <c r="H254"/>
  <c r="G254" s="1"/>
  <c r="H256"/>
  <c r="G256" s="1"/>
  <c r="H257"/>
  <c r="G257" s="1"/>
  <c r="H258"/>
  <c r="G258" s="1"/>
  <c r="H259"/>
  <c r="AJ259"/>
  <c r="AK259"/>
  <c r="H249"/>
  <c r="G249" s="1"/>
  <c r="I247"/>
  <c r="J247"/>
  <c r="K247"/>
  <c r="L247"/>
  <c r="M247"/>
  <c r="N247"/>
  <c r="O247"/>
  <c r="P247"/>
  <c r="Q247"/>
  <c r="R247"/>
  <c r="S247"/>
  <c r="T247"/>
  <c r="U247"/>
  <c r="W247"/>
  <c r="Y247"/>
  <c r="Z247"/>
  <c r="AA247"/>
  <c r="AB247"/>
  <c r="AC247"/>
  <c r="AD247"/>
  <c r="AE247"/>
  <c r="AF247"/>
  <c r="AG247"/>
  <c r="AH247"/>
  <c r="AI247"/>
  <c r="AL247"/>
  <c r="C247"/>
  <c r="AK247"/>
  <c r="AJ247"/>
  <c r="H246"/>
  <c r="G246" s="1"/>
  <c r="I244"/>
  <c r="J244"/>
  <c r="K244"/>
  <c r="L244"/>
  <c r="M244"/>
  <c r="N244"/>
  <c r="O244"/>
  <c r="P244"/>
  <c r="Q244"/>
  <c r="R244"/>
  <c r="S244"/>
  <c r="T244"/>
  <c r="U244"/>
  <c r="W244"/>
  <c r="Y244"/>
  <c r="Z244"/>
  <c r="AA244"/>
  <c r="AB244"/>
  <c r="AC244"/>
  <c r="AD244"/>
  <c r="AE244"/>
  <c r="AF244"/>
  <c r="AG244"/>
  <c r="AH244"/>
  <c r="AI244"/>
  <c r="AL244"/>
  <c r="C244"/>
  <c r="AK244"/>
  <c r="AJ244"/>
  <c r="H243"/>
  <c r="J239" i="9"/>
  <c r="K239"/>
  <c r="D21" i="11" s="1"/>
  <c r="M239" i="9"/>
  <c r="N239"/>
  <c r="O239"/>
  <c r="Q239"/>
  <c r="R239"/>
  <c r="I239"/>
  <c r="C21" i="11" s="1"/>
  <c r="I241" i="10"/>
  <c r="J241"/>
  <c r="K241"/>
  <c r="L241"/>
  <c r="M241"/>
  <c r="N241"/>
  <c r="O241"/>
  <c r="P241"/>
  <c r="Q241"/>
  <c r="R241"/>
  <c r="S241"/>
  <c r="T241"/>
  <c r="U241"/>
  <c r="W241"/>
  <c r="Y241"/>
  <c r="Z241"/>
  <c r="AA241"/>
  <c r="AB241"/>
  <c r="AC241"/>
  <c r="AD241"/>
  <c r="AE241"/>
  <c r="AF241"/>
  <c r="AG241"/>
  <c r="AH241"/>
  <c r="AI241"/>
  <c r="AL241"/>
  <c r="C241"/>
  <c r="AK241"/>
  <c r="AJ241"/>
  <c r="H240"/>
  <c r="G240" s="1"/>
  <c r="J236" i="9"/>
  <c r="K236"/>
  <c r="D20" i="11" s="1"/>
  <c r="M236" i="9"/>
  <c r="N236"/>
  <c r="O236"/>
  <c r="Q236"/>
  <c r="R236"/>
  <c r="I236"/>
  <c r="C20" i="11" s="1"/>
  <c r="L235" i="9"/>
  <c r="P235" s="1"/>
  <c r="P236" s="1"/>
  <c r="J238" i="10"/>
  <c r="L238"/>
  <c r="M238"/>
  <c r="N238"/>
  <c r="O238"/>
  <c r="P238"/>
  <c r="Q238"/>
  <c r="R238"/>
  <c r="S238"/>
  <c r="T238"/>
  <c r="U238"/>
  <c r="W238"/>
  <c r="X238"/>
  <c r="Y238"/>
  <c r="Z238"/>
  <c r="AA238"/>
  <c r="AB238"/>
  <c r="AC238"/>
  <c r="AD238"/>
  <c r="AE238"/>
  <c r="AF238"/>
  <c r="AG238"/>
  <c r="AH238"/>
  <c r="AL238"/>
  <c r="C238"/>
  <c r="AK237"/>
  <c r="AJ237"/>
  <c r="AI237"/>
  <c r="I237"/>
  <c r="K237"/>
  <c r="J229" i="9"/>
  <c r="K229"/>
  <c r="D18" i="11" s="1"/>
  <c r="M229" i="9"/>
  <c r="N229"/>
  <c r="O229"/>
  <c r="Q229"/>
  <c r="R229"/>
  <c r="I229"/>
  <c r="C18" i="11" s="1"/>
  <c r="I235" i="10"/>
  <c r="J235"/>
  <c r="K235"/>
  <c r="L235"/>
  <c r="M235"/>
  <c r="N235"/>
  <c r="O235"/>
  <c r="P235"/>
  <c r="Q235"/>
  <c r="R235"/>
  <c r="S235"/>
  <c r="T235"/>
  <c r="U235"/>
  <c r="W235"/>
  <c r="Y235"/>
  <c r="Z235"/>
  <c r="AA235"/>
  <c r="AB235"/>
  <c r="AC235"/>
  <c r="AD235"/>
  <c r="AE235"/>
  <c r="AF235"/>
  <c r="AG235"/>
  <c r="AH235"/>
  <c r="AI235"/>
  <c r="AL235"/>
  <c r="C235"/>
  <c r="H234"/>
  <c r="AK235"/>
  <c r="AJ235"/>
  <c r="H233"/>
  <c r="G233" s="1"/>
  <c r="J231"/>
  <c r="K231"/>
  <c r="L231"/>
  <c r="M231"/>
  <c r="N231"/>
  <c r="O231"/>
  <c r="P231"/>
  <c r="Q231"/>
  <c r="R231"/>
  <c r="S231"/>
  <c r="T231"/>
  <c r="U231"/>
  <c r="W231"/>
  <c r="Y231"/>
  <c r="Z231"/>
  <c r="AA231"/>
  <c r="AB231"/>
  <c r="AC231"/>
  <c r="AD231"/>
  <c r="AE231"/>
  <c r="AF231"/>
  <c r="AG231"/>
  <c r="AH231"/>
  <c r="AI231"/>
  <c r="AL231"/>
  <c r="C231"/>
  <c r="H230"/>
  <c r="G230" s="1"/>
  <c r="J225" i="9"/>
  <c r="K225"/>
  <c r="D17" i="11" s="1"/>
  <c r="M225" i="9"/>
  <c r="N225"/>
  <c r="O225"/>
  <c r="Q225"/>
  <c r="R225"/>
  <c r="I225"/>
  <c r="C17" i="11" s="1"/>
  <c r="J227" i="10"/>
  <c r="L227"/>
  <c r="N227"/>
  <c r="P227"/>
  <c r="Q227"/>
  <c r="R227"/>
  <c r="T227"/>
  <c r="U227"/>
  <c r="W227"/>
  <c r="Y227"/>
  <c r="AA227"/>
  <c r="AB227"/>
  <c r="AC227"/>
  <c r="AD227"/>
  <c r="AE227"/>
  <c r="AF227"/>
  <c r="AG227"/>
  <c r="AH227"/>
  <c r="AL227"/>
  <c r="C227"/>
  <c r="H213"/>
  <c r="G213" s="1"/>
  <c r="H214"/>
  <c r="G214" s="1"/>
  <c r="H215"/>
  <c r="H216"/>
  <c r="H217"/>
  <c r="H218"/>
  <c r="H219"/>
  <c r="H220"/>
  <c r="H221"/>
  <c r="H224"/>
  <c r="H226"/>
  <c r="G226" s="1"/>
  <c r="H212"/>
  <c r="J208" i="9"/>
  <c r="K208"/>
  <c r="D16" i="11" s="1"/>
  <c r="M208" i="9"/>
  <c r="N208"/>
  <c r="O208"/>
  <c r="Q208"/>
  <c r="R208"/>
  <c r="I208"/>
  <c r="C16" i="11" s="1"/>
  <c r="I210" i="10"/>
  <c r="J210"/>
  <c r="K210"/>
  <c r="L210"/>
  <c r="M210"/>
  <c r="N210"/>
  <c r="O210"/>
  <c r="P210"/>
  <c r="Q210"/>
  <c r="R210"/>
  <c r="S210"/>
  <c r="T210"/>
  <c r="U210"/>
  <c r="W210"/>
  <c r="Y210"/>
  <c r="Z210"/>
  <c r="AA210"/>
  <c r="AB210"/>
  <c r="AC210"/>
  <c r="AD210"/>
  <c r="AE210"/>
  <c r="AF210"/>
  <c r="AG210"/>
  <c r="AH210"/>
  <c r="AI210"/>
  <c r="AL210"/>
  <c r="C210"/>
  <c r="H209"/>
  <c r="H208"/>
  <c r="H207"/>
  <c r="AK210"/>
  <c r="H206"/>
  <c r="G206" s="1"/>
  <c r="J202" i="9"/>
  <c r="K202"/>
  <c r="D15" i="11" s="1"/>
  <c r="M202" i="9"/>
  <c r="N202"/>
  <c r="O202"/>
  <c r="Q202"/>
  <c r="R202"/>
  <c r="I202"/>
  <c r="C15" i="11" s="1"/>
  <c r="C204" i="10"/>
  <c r="I204"/>
  <c r="J204"/>
  <c r="K204"/>
  <c r="L204"/>
  <c r="M204"/>
  <c r="N204"/>
  <c r="O204"/>
  <c r="P204"/>
  <c r="Q204"/>
  <c r="R204"/>
  <c r="S204"/>
  <c r="T204"/>
  <c r="U204"/>
  <c r="W204"/>
  <c r="Y204"/>
  <c r="Z204"/>
  <c r="AA204"/>
  <c r="AB204"/>
  <c r="AC204"/>
  <c r="AD204"/>
  <c r="AE204"/>
  <c r="AF204"/>
  <c r="AG204"/>
  <c r="AH204"/>
  <c r="AI204"/>
  <c r="AL204"/>
  <c r="H203"/>
  <c r="H202"/>
  <c r="AK204"/>
  <c r="AJ204"/>
  <c r="H201"/>
  <c r="D14" i="11"/>
  <c r="C14"/>
  <c r="H193" i="10"/>
  <c r="H194"/>
  <c r="H195"/>
  <c r="H196"/>
  <c r="H197"/>
  <c r="G197" s="1"/>
  <c r="H192"/>
  <c r="C199"/>
  <c r="J188" i="9"/>
  <c r="K188"/>
  <c r="D13" i="11" s="1"/>
  <c r="M188" i="9"/>
  <c r="N188"/>
  <c r="O188"/>
  <c r="Q188"/>
  <c r="R188"/>
  <c r="I188"/>
  <c r="C13" i="11" s="1"/>
  <c r="I190" i="10"/>
  <c r="J190"/>
  <c r="K190"/>
  <c r="L190"/>
  <c r="M190"/>
  <c r="N190"/>
  <c r="O190"/>
  <c r="P190"/>
  <c r="Q190"/>
  <c r="R190"/>
  <c r="S190"/>
  <c r="T190"/>
  <c r="U190"/>
  <c r="W190"/>
  <c r="Y190"/>
  <c r="Z190"/>
  <c r="AA190"/>
  <c r="AB190"/>
  <c r="AC190"/>
  <c r="AD190"/>
  <c r="AE190"/>
  <c r="AF190"/>
  <c r="AG190"/>
  <c r="AH190"/>
  <c r="AI190"/>
  <c r="AL190"/>
  <c r="C190"/>
  <c r="AK190"/>
  <c r="H188"/>
  <c r="H189"/>
  <c r="H187"/>
  <c r="G187" s="1"/>
  <c r="J183" i="9"/>
  <c r="K183"/>
  <c r="D12" i="11" s="1"/>
  <c r="M183" i="9"/>
  <c r="N183"/>
  <c r="O183"/>
  <c r="Q183"/>
  <c r="R183"/>
  <c r="I183"/>
  <c r="C12" i="11" s="1"/>
  <c r="L181" i="9"/>
  <c r="P181" s="1"/>
  <c r="K185" i="10"/>
  <c r="L185"/>
  <c r="M185"/>
  <c r="N185"/>
  <c r="P185"/>
  <c r="Q185"/>
  <c r="R185"/>
  <c r="T185"/>
  <c r="U185"/>
  <c r="W185"/>
  <c r="Y185"/>
  <c r="Z185"/>
  <c r="AA185"/>
  <c r="AB185"/>
  <c r="AC185"/>
  <c r="AD185"/>
  <c r="AE185"/>
  <c r="AF185"/>
  <c r="AG185"/>
  <c r="AH185"/>
  <c r="AL185"/>
  <c r="AM185"/>
  <c r="AN185"/>
  <c r="J185"/>
  <c r="I185"/>
  <c r="C185"/>
  <c r="C170"/>
  <c r="O174"/>
  <c r="AK174"/>
  <c r="AJ174"/>
  <c r="AI174"/>
  <c r="S174"/>
  <c r="AJ183"/>
  <c r="AK183"/>
  <c r="X183"/>
  <c r="H173"/>
  <c r="H175"/>
  <c r="H176"/>
  <c r="H177"/>
  <c r="H178"/>
  <c r="H179"/>
  <c r="H180"/>
  <c r="H181"/>
  <c r="H182"/>
  <c r="H183"/>
  <c r="H184"/>
  <c r="H172"/>
  <c r="J168" i="9"/>
  <c r="K168"/>
  <c r="D11" i="11" s="1"/>
  <c r="M168" i="9"/>
  <c r="N168"/>
  <c r="O168"/>
  <c r="Q168"/>
  <c r="R168"/>
  <c r="I168"/>
  <c r="C11" i="11" s="1"/>
  <c r="L166" i="9"/>
  <c r="P166" s="1"/>
  <c r="L167"/>
  <c r="P167" s="1"/>
  <c r="I170" i="10"/>
  <c r="J170"/>
  <c r="K170"/>
  <c r="L170"/>
  <c r="N170"/>
  <c r="P170"/>
  <c r="Q170"/>
  <c r="R170"/>
  <c r="T170"/>
  <c r="U170"/>
  <c r="W170"/>
  <c r="Y170"/>
  <c r="Z170"/>
  <c r="AA170"/>
  <c r="AC170"/>
  <c r="AD170"/>
  <c r="AE170"/>
  <c r="AF170"/>
  <c r="AG170"/>
  <c r="AH170"/>
  <c r="AI170"/>
  <c r="AL170"/>
  <c r="H164"/>
  <c r="H165"/>
  <c r="H166"/>
  <c r="H168"/>
  <c r="H169"/>
  <c r="M170"/>
  <c r="H163"/>
  <c r="G163" s="1"/>
  <c r="S170"/>
  <c r="O170"/>
  <c r="AI148"/>
  <c r="AI152"/>
  <c r="E153"/>
  <c r="E155"/>
  <c r="E156"/>
  <c r="E140"/>
  <c r="E141"/>
  <c r="E91"/>
  <c r="E112"/>
  <c r="E63"/>
  <c r="E65"/>
  <c r="E68"/>
  <c r="E36"/>
  <c r="E38"/>
  <c r="E45"/>
  <c r="L34" i="9"/>
  <c r="P34" s="1"/>
  <c r="L36"/>
  <c r="P36" s="1"/>
  <c r="L43"/>
  <c r="P43" s="1"/>
  <c r="L61"/>
  <c r="P61" s="1"/>
  <c r="L63"/>
  <c r="P63" s="1"/>
  <c r="L66"/>
  <c r="P66" s="1"/>
  <c r="L89"/>
  <c r="P89" s="1"/>
  <c r="L110"/>
  <c r="P110" s="1"/>
  <c r="L138"/>
  <c r="P138" s="1"/>
  <c r="L139"/>
  <c r="P139" s="1"/>
  <c r="L151"/>
  <c r="P151" s="1"/>
  <c r="L153"/>
  <c r="P153" s="1"/>
  <c r="L154"/>
  <c r="P154" s="1"/>
  <c r="AK154" i="10"/>
  <c r="AJ154"/>
  <c r="AI154"/>
  <c r="C36" i="11" l="1"/>
  <c r="C9"/>
  <c r="G494" i="10"/>
  <c r="G359" s="1"/>
  <c r="G357"/>
  <c r="H494"/>
  <c r="G192"/>
  <c r="H199"/>
  <c r="P492" i="9"/>
  <c r="L492"/>
  <c r="AJ238" i="10"/>
  <c r="AK238"/>
  <c r="L211" i="9"/>
  <c r="P211" s="1"/>
  <c r="L248"/>
  <c r="P248" s="1"/>
  <c r="L250"/>
  <c r="P250" s="1"/>
  <c r="L255"/>
  <c r="P255" s="1"/>
  <c r="L252"/>
  <c r="P252" s="1"/>
  <c r="L224"/>
  <c r="P224" s="1"/>
  <c r="L212"/>
  <c r="P212" s="1"/>
  <c r="L247"/>
  <c r="P247" s="1"/>
  <c r="L249"/>
  <c r="P249" s="1"/>
  <c r="L251"/>
  <c r="P251" s="1"/>
  <c r="L256"/>
  <c r="P256" s="1"/>
  <c r="L254"/>
  <c r="P254" s="1"/>
  <c r="AG14" i="10"/>
  <c r="AE14"/>
  <c r="AE12" s="1"/>
  <c r="AC14"/>
  <c r="AC12" s="1"/>
  <c r="G263"/>
  <c r="G266"/>
  <c r="G275"/>
  <c r="G291"/>
  <c r="L353" i="9"/>
  <c r="P353" s="1"/>
  <c r="L337"/>
  <c r="P337" s="1"/>
  <c r="G333" i="10"/>
  <c r="L354" i="9"/>
  <c r="P354" s="1"/>
  <c r="L349"/>
  <c r="P349" s="1"/>
  <c r="L338"/>
  <c r="P338" s="1"/>
  <c r="L334"/>
  <c r="P334" s="1"/>
  <c r="L350"/>
  <c r="P350" s="1"/>
  <c r="G241" i="10"/>
  <c r="G247"/>
  <c r="G294"/>
  <c r="G302"/>
  <c r="L348" i="9"/>
  <c r="P348" s="1"/>
  <c r="L351"/>
  <c r="P351" s="1"/>
  <c r="L347"/>
  <c r="P347" s="1"/>
  <c r="L336"/>
  <c r="P336" s="1"/>
  <c r="L352"/>
  <c r="P352" s="1"/>
  <c r="L346"/>
  <c r="P346" s="1"/>
  <c r="AH14" i="10"/>
  <c r="AH12" s="1"/>
  <c r="AF14"/>
  <c r="AF12" s="1"/>
  <c r="AD14"/>
  <c r="AD12" s="1"/>
  <c r="L14"/>
  <c r="J14"/>
  <c r="J12" s="1"/>
  <c r="K359"/>
  <c r="G342"/>
  <c r="L335" i="9"/>
  <c r="P335" s="1"/>
  <c r="L330"/>
  <c r="P330" s="1"/>
  <c r="G165" i="10"/>
  <c r="G172"/>
  <c r="G181"/>
  <c r="G179"/>
  <c r="G177"/>
  <c r="G175"/>
  <c r="G189"/>
  <c r="G195"/>
  <c r="G202"/>
  <c r="G208"/>
  <c r="G212"/>
  <c r="G224"/>
  <c r="G220"/>
  <c r="G218"/>
  <c r="G216"/>
  <c r="G234"/>
  <c r="G235" s="1"/>
  <c r="G268"/>
  <c r="G270"/>
  <c r="G277"/>
  <c r="G279"/>
  <c r="G281"/>
  <c r="G286"/>
  <c r="G305"/>
  <c r="G313"/>
  <c r="G317"/>
  <c r="G166"/>
  <c r="G184"/>
  <c r="G182"/>
  <c r="G180"/>
  <c r="G178"/>
  <c r="G176"/>
  <c r="G173"/>
  <c r="G188"/>
  <c r="G196"/>
  <c r="G194"/>
  <c r="G193"/>
  <c r="G201"/>
  <c r="G203"/>
  <c r="G207"/>
  <c r="G209"/>
  <c r="G221"/>
  <c r="G219"/>
  <c r="G217"/>
  <c r="G215"/>
  <c r="G269"/>
  <c r="G271"/>
  <c r="G278"/>
  <c r="G282"/>
  <c r="G280"/>
  <c r="G287"/>
  <c r="G309"/>
  <c r="G312"/>
  <c r="G318"/>
  <c r="G306"/>
  <c r="AG12"/>
  <c r="L12"/>
  <c r="W14"/>
  <c r="W12" s="1"/>
  <c r="T14"/>
  <c r="N14"/>
  <c r="N12" s="1"/>
  <c r="AL14"/>
  <c r="AL12" s="1"/>
  <c r="AA14"/>
  <c r="AA12" s="1"/>
  <c r="Y14"/>
  <c r="Y12" s="1"/>
  <c r="R14"/>
  <c r="R12" s="1"/>
  <c r="P14"/>
  <c r="P12" s="1"/>
  <c r="S359"/>
  <c r="M359"/>
  <c r="O359"/>
  <c r="Q359"/>
  <c r="AI359"/>
  <c r="I359"/>
  <c r="AB359"/>
  <c r="L161" i="9"/>
  <c r="P161" s="1"/>
  <c r="H247" i="10"/>
  <c r="H263"/>
  <c r="H288"/>
  <c r="H291"/>
  <c r="H302"/>
  <c r="H319"/>
  <c r="L185" i="9"/>
  <c r="L228"/>
  <c r="P228" s="1"/>
  <c r="H235" i="10"/>
  <c r="H241"/>
  <c r="H244"/>
  <c r="G243"/>
  <c r="H266"/>
  <c r="H275"/>
  <c r="H294"/>
  <c r="H306"/>
  <c r="H310"/>
  <c r="L322" i="9"/>
  <c r="L342"/>
  <c r="L692" s="1"/>
  <c r="L333"/>
  <c r="L325"/>
  <c r="L319"/>
  <c r="L345"/>
  <c r="L328"/>
  <c r="L204"/>
  <c r="P204" s="1"/>
  <c r="H204" i="10"/>
  <c r="AJ210"/>
  <c r="AI238"/>
  <c r="C272"/>
  <c r="K238"/>
  <c r="I238"/>
  <c r="H237"/>
  <c r="H238" s="1"/>
  <c r="C288"/>
  <c r="H629"/>
  <c r="H564"/>
  <c r="H210"/>
  <c r="AI185"/>
  <c r="X204"/>
  <c r="M227"/>
  <c r="S227"/>
  <c r="X231"/>
  <c r="X235"/>
  <c r="X241"/>
  <c r="O260"/>
  <c r="I260"/>
  <c r="AI260"/>
  <c r="X275"/>
  <c r="X288"/>
  <c r="AI299"/>
  <c r="X302"/>
  <c r="X306"/>
  <c r="X310"/>
  <c r="S185"/>
  <c r="O185"/>
  <c r="X210"/>
  <c r="H229"/>
  <c r="G229" s="1"/>
  <c r="X244"/>
  <c r="X247"/>
  <c r="M260"/>
  <c r="S260"/>
  <c r="Q260"/>
  <c r="U260"/>
  <c r="X263"/>
  <c r="X266"/>
  <c r="X291"/>
  <c r="O299"/>
  <c r="X319"/>
  <c r="X170"/>
  <c r="X227"/>
  <c r="M299"/>
  <c r="AJ299"/>
  <c r="AK299"/>
  <c r="AK185"/>
  <c r="AI227"/>
  <c r="H272"/>
  <c r="AK272"/>
  <c r="AJ272"/>
  <c r="X272"/>
  <c r="H223"/>
  <c r="G223" s="1"/>
  <c r="AK231"/>
  <c r="H255"/>
  <c r="X314"/>
  <c r="G144"/>
  <c r="E144" s="1"/>
  <c r="AJ190"/>
  <c r="AJ185"/>
  <c r="H190"/>
  <c r="X190"/>
  <c r="H225"/>
  <c r="G225" s="1"/>
  <c r="I231"/>
  <c r="K227"/>
  <c r="O227"/>
  <c r="I227"/>
  <c r="AJ231"/>
  <c r="H157"/>
  <c r="G157" s="1"/>
  <c r="G298"/>
  <c r="H314"/>
  <c r="AK314"/>
  <c r="AJ314"/>
  <c r="R12" i="9"/>
  <c r="R10" s="1"/>
  <c r="O12"/>
  <c r="O10" s="1"/>
  <c r="M12"/>
  <c r="M10" s="1"/>
  <c r="I12"/>
  <c r="Q12"/>
  <c r="Q10" s="1"/>
  <c r="N12"/>
  <c r="N10" s="1"/>
  <c r="K12"/>
  <c r="K10" s="1"/>
  <c r="AJ170" i="10"/>
  <c r="L294" i="9"/>
  <c r="P294" s="1"/>
  <c r="AB170" i="10"/>
  <c r="H174"/>
  <c r="H185" s="1"/>
  <c r="H222"/>
  <c r="G222" s="1"/>
  <c r="Z227"/>
  <c r="AJ260"/>
  <c r="H283"/>
  <c r="G297"/>
  <c r="AK170"/>
  <c r="G164"/>
  <c r="AK260"/>
  <c r="X260"/>
  <c r="K260"/>
  <c r="T12"/>
  <c r="H170"/>
  <c r="L236" i="9"/>
  <c r="F20" i="11" s="1"/>
  <c r="Q154" i="10"/>
  <c r="S154"/>
  <c r="O154"/>
  <c r="AK146"/>
  <c r="AK147"/>
  <c r="AK148"/>
  <c r="AK149"/>
  <c r="AK150"/>
  <c r="AK151"/>
  <c r="AK152"/>
  <c r="AK145"/>
  <c r="AJ146"/>
  <c r="AJ147"/>
  <c r="AJ148"/>
  <c r="AJ149"/>
  <c r="AJ150"/>
  <c r="AJ151"/>
  <c r="AJ152"/>
  <c r="AJ145"/>
  <c r="AI146"/>
  <c r="AI147"/>
  <c r="AI149"/>
  <c r="AI150"/>
  <c r="AI151"/>
  <c r="AI145"/>
  <c r="AB142"/>
  <c r="AK139"/>
  <c r="AJ139"/>
  <c r="AI139"/>
  <c r="S139"/>
  <c r="O139"/>
  <c r="K139"/>
  <c r="X138"/>
  <c r="H17"/>
  <c r="G17" s="1"/>
  <c r="H18"/>
  <c r="G18" s="1"/>
  <c r="H19"/>
  <c r="G19" s="1"/>
  <c r="H20"/>
  <c r="G20" s="1"/>
  <c r="H21"/>
  <c r="G21" s="1"/>
  <c r="H22"/>
  <c r="G22" s="1"/>
  <c r="H23"/>
  <c r="G23" s="1"/>
  <c r="H24"/>
  <c r="G24" s="1"/>
  <c r="H25"/>
  <c r="G25" s="1"/>
  <c r="H26"/>
  <c r="G26" s="1"/>
  <c r="H27"/>
  <c r="G27" s="1"/>
  <c r="H28"/>
  <c r="G28" s="1"/>
  <c r="H29"/>
  <c r="G29" s="1"/>
  <c r="H30"/>
  <c r="G30" s="1"/>
  <c r="H31"/>
  <c r="G31" s="1"/>
  <c r="H32"/>
  <c r="G32" s="1"/>
  <c r="H33"/>
  <c r="G33" s="1"/>
  <c r="H34"/>
  <c r="G34" s="1"/>
  <c r="H35"/>
  <c r="G35" s="1"/>
  <c r="H36"/>
  <c r="H37"/>
  <c r="G37" s="1"/>
  <c r="H38"/>
  <c r="H39"/>
  <c r="G39" s="1"/>
  <c r="H40"/>
  <c r="G40" s="1"/>
  <c r="H41"/>
  <c r="G41" s="1"/>
  <c r="H42"/>
  <c r="G42" s="1"/>
  <c r="H43"/>
  <c r="G43" s="1"/>
  <c r="H44"/>
  <c r="G44" s="1"/>
  <c r="H45"/>
  <c r="H46"/>
  <c r="G46" s="1"/>
  <c r="H47"/>
  <c r="G47" s="1"/>
  <c r="H48"/>
  <c r="G48" s="1"/>
  <c r="H49"/>
  <c r="G49" s="1"/>
  <c r="H50"/>
  <c r="G50" s="1"/>
  <c r="H51"/>
  <c r="G51" s="1"/>
  <c r="H52"/>
  <c r="G52" s="1"/>
  <c r="H53"/>
  <c r="G53" s="1"/>
  <c r="H54"/>
  <c r="G54" s="1"/>
  <c r="H55"/>
  <c r="G55" s="1"/>
  <c r="H56"/>
  <c r="G56" s="1"/>
  <c r="H57"/>
  <c r="G57" s="1"/>
  <c r="H58"/>
  <c r="G58" s="1"/>
  <c r="H59"/>
  <c r="G59" s="1"/>
  <c r="H60"/>
  <c r="G60" s="1"/>
  <c r="H61"/>
  <c r="G61" s="1"/>
  <c r="H63"/>
  <c r="H64"/>
  <c r="G64" s="1"/>
  <c r="H66"/>
  <c r="G66" s="1"/>
  <c r="H67"/>
  <c r="G67" s="1"/>
  <c r="H68"/>
  <c r="H69"/>
  <c r="G69" s="1"/>
  <c r="H70"/>
  <c r="G70" s="1"/>
  <c r="H71"/>
  <c r="G71" s="1"/>
  <c r="H72"/>
  <c r="G72" s="1"/>
  <c r="H73"/>
  <c r="G73" s="1"/>
  <c r="H74"/>
  <c r="G74" s="1"/>
  <c r="H75"/>
  <c r="G75" s="1"/>
  <c r="H76"/>
  <c r="G76" s="1"/>
  <c r="H77"/>
  <c r="G77" s="1"/>
  <c r="H78"/>
  <c r="G78" s="1"/>
  <c r="H79"/>
  <c r="G79" s="1"/>
  <c r="H81"/>
  <c r="G81" s="1"/>
  <c r="H82"/>
  <c r="G82" s="1"/>
  <c r="H83"/>
  <c r="G83" s="1"/>
  <c r="H84"/>
  <c r="G84" s="1"/>
  <c r="H85"/>
  <c r="G85" s="1"/>
  <c r="H86"/>
  <c r="G86" s="1"/>
  <c r="H87"/>
  <c r="G87" s="1"/>
  <c r="H88"/>
  <c r="G88" s="1"/>
  <c r="H89"/>
  <c r="G89" s="1"/>
  <c r="H90"/>
  <c r="G90" s="1"/>
  <c r="H91"/>
  <c r="H92"/>
  <c r="G92" s="1"/>
  <c r="H93"/>
  <c r="G93" s="1"/>
  <c r="H94"/>
  <c r="G94" s="1"/>
  <c r="H95"/>
  <c r="G95" s="1"/>
  <c r="H96"/>
  <c r="G96" s="1"/>
  <c r="H97"/>
  <c r="G97" s="1"/>
  <c r="H98"/>
  <c r="G98" s="1"/>
  <c r="H99"/>
  <c r="G99" s="1"/>
  <c r="H100"/>
  <c r="G100" s="1"/>
  <c r="H101"/>
  <c r="G101" s="1"/>
  <c r="H102"/>
  <c r="G102" s="1"/>
  <c r="H103"/>
  <c r="G103" s="1"/>
  <c r="H104"/>
  <c r="G104" s="1"/>
  <c r="H105"/>
  <c r="G105" s="1"/>
  <c r="H106"/>
  <c r="G106" s="1"/>
  <c r="H107"/>
  <c r="G107" s="1"/>
  <c r="H109"/>
  <c r="G109" s="1"/>
  <c r="H110"/>
  <c r="G110" s="1"/>
  <c r="H111"/>
  <c r="G111" s="1"/>
  <c r="H112"/>
  <c r="H113"/>
  <c r="G113" s="1"/>
  <c r="H114"/>
  <c r="G114" s="1"/>
  <c r="H115"/>
  <c r="G115" s="1"/>
  <c r="H116"/>
  <c r="G116" s="1"/>
  <c r="H117"/>
  <c r="G117" s="1"/>
  <c r="H118"/>
  <c r="G118" s="1"/>
  <c r="H119"/>
  <c r="G119" s="1"/>
  <c r="H120"/>
  <c r="G120" s="1"/>
  <c r="H121"/>
  <c r="H122"/>
  <c r="G122" s="1"/>
  <c r="H123"/>
  <c r="G123" s="1"/>
  <c r="H126"/>
  <c r="G126" s="1"/>
  <c r="H127"/>
  <c r="G127" s="1"/>
  <c r="H128"/>
  <c r="G128" s="1"/>
  <c r="H129"/>
  <c r="G129" s="1"/>
  <c r="H131"/>
  <c r="G131" s="1"/>
  <c r="H134"/>
  <c r="G134" s="1"/>
  <c r="H135"/>
  <c r="G135" s="1"/>
  <c r="H136"/>
  <c r="G136" s="1"/>
  <c r="H137"/>
  <c r="G137" s="1"/>
  <c r="H138"/>
  <c r="H140"/>
  <c r="H141"/>
  <c r="H142"/>
  <c r="H143"/>
  <c r="H144"/>
  <c r="H145"/>
  <c r="H146"/>
  <c r="H147"/>
  <c r="H148"/>
  <c r="H149"/>
  <c r="H150"/>
  <c r="H151"/>
  <c r="H152"/>
  <c r="H153"/>
  <c r="H155"/>
  <c r="H156"/>
  <c r="H16"/>
  <c r="G16" s="1"/>
  <c r="AB138"/>
  <c r="U161"/>
  <c r="AK132"/>
  <c r="AJ132"/>
  <c r="S132"/>
  <c r="I132"/>
  <c r="AK130"/>
  <c r="AJ130"/>
  <c r="AI130"/>
  <c r="Q130"/>
  <c r="S130"/>
  <c r="O130"/>
  <c r="K130"/>
  <c r="I130"/>
  <c r="AB121"/>
  <c r="AK80"/>
  <c r="AJ80"/>
  <c r="S80"/>
  <c r="AI80"/>
  <c r="O80"/>
  <c r="AM74"/>
  <c r="AN62"/>
  <c r="AK62"/>
  <c r="AJ62"/>
  <c r="AI62"/>
  <c r="G190" l="1"/>
  <c r="G199"/>
  <c r="L190" i="9"/>
  <c r="P190" s="1"/>
  <c r="P185"/>
  <c r="L220"/>
  <c r="P220" s="1"/>
  <c r="L223"/>
  <c r="P223" s="1"/>
  <c r="H260" i="10"/>
  <c r="G255"/>
  <c r="L221" i="9"/>
  <c r="P221" s="1"/>
  <c r="E120" i="10"/>
  <c r="L118" i="9"/>
  <c r="P118" s="1"/>
  <c r="E107" i="10"/>
  <c r="L105" i="9"/>
  <c r="P105" s="1"/>
  <c r="E93" i="10"/>
  <c r="L91" i="9"/>
  <c r="P91" s="1"/>
  <c r="E74" i="10"/>
  <c r="L72" i="9"/>
  <c r="P72" s="1"/>
  <c r="E40" i="10"/>
  <c r="L38" i="9"/>
  <c r="P38" s="1"/>
  <c r="E34" i="10"/>
  <c r="L32" i="9"/>
  <c r="P32" s="1"/>
  <c r="L104"/>
  <c r="P104" s="1"/>
  <c r="E106" i="10"/>
  <c r="E90"/>
  <c r="L88" i="9"/>
  <c r="P88" s="1"/>
  <c r="E82" i="10"/>
  <c r="L80" i="9"/>
  <c r="P80" s="1"/>
  <c r="E67" i="10"/>
  <c r="L65" i="9"/>
  <c r="P65" s="1"/>
  <c r="E41" i="10"/>
  <c r="L39" i="9"/>
  <c r="P39" s="1"/>
  <c r="E39" i="10"/>
  <c r="L37" i="9"/>
  <c r="P37" s="1"/>
  <c r="E37" i="10"/>
  <c r="L35" i="9"/>
  <c r="P35" s="1"/>
  <c r="E35" i="10"/>
  <c r="L33" i="9"/>
  <c r="P33" s="1"/>
  <c r="E33" i="10"/>
  <c r="L31" i="9"/>
  <c r="P31" s="1"/>
  <c r="L21"/>
  <c r="P21" s="1"/>
  <c r="E23" i="10"/>
  <c r="L253" i="9"/>
  <c r="L295"/>
  <c r="P295" s="1"/>
  <c r="L296"/>
  <c r="P296" s="1"/>
  <c r="L142"/>
  <c r="P142" s="1"/>
  <c r="L155"/>
  <c r="P155" s="1"/>
  <c r="G231" i="10"/>
  <c r="G314"/>
  <c r="L285" i="9"/>
  <c r="P285" s="1"/>
  <c r="L280"/>
  <c r="P280" s="1"/>
  <c r="L269"/>
  <c r="P269" s="1"/>
  <c r="L213"/>
  <c r="P213" s="1"/>
  <c r="L217"/>
  <c r="P217" s="1"/>
  <c r="L207"/>
  <c r="P207" s="1"/>
  <c r="L201"/>
  <c r="P201" s="1"/>
  <c r="L191"/>
  <c r="P191" s="1"/>
  <c r="L194"/>
  <c r="P194" s="1"/>
  <c r="L171"/>
  <c r="P171" s="1"/>
  <c r="L176"/>
  <c r="P176" s="1"/>
  <c r="L180"/>
  <c r="P180" s="1"/>
  <c r="L164"/>
  <c r="P164" s="1"/>
  <c r="L315"/>
  <c r="P315" s="1"/>
  <c r="L303"/>
  <c r="P303" s="1"/>
  <c r="L279"/>
  <c r="P279" s="1"/>
  <c r="L275"/>
  <c r="P275" s="1"/>
  <c r="L266"/>
  <c r="P266" s="1"/>
  <c r="L214"/>
  <c r="P214" s="1"/>
  <c r="L218"/>
  <c r="P218" s="1"/>
  <c r="L210"/>
  <c r="P210" s="1"/>
  <c r="L200"/>
  <c r="P200" s="1"/>
  <c r="L195"/>
  <c r="P195" s="1"/>
  <c r="L173"/>
  <c r="P173" s="1"/>
  <c r="L177"/>
  <c r="P177" s="1"/>
  <c r="L170"/>
  <c r="P170" s="1"/>
  <c r="G152" i="10"/>
  <c r="G148"/>
  <c r="L146" i="9" s="1"/>
  <c r="P146" s="1"/>
  <c r="G170" i="10"/>
  <c r="G244"/>
  <c r="L316" i="9"/>
  <c r="P316" s="1"/>
  <c r="G310" i="10"/>
  <c r="L278" i="9"/>
  <c r="P278" s="1"/>
  <c r="L276"/>
  <c r="P276" s="1"/>
  <c r="L267"/>
  <c r="P267" s="1"/>
  <c r="L215"/>
  <c r="P215" s="1"/>
  <c r="L219"/>
  <c r="P219" s="1"/>
  <c r="L205"/>
  <c r="P205" s="1"/>
  <c r="L199"/>
  <c r="P199" s="1"/>
  <c r="L192"/>
  <c r="P192" s="1"/>
  <c r="L186"/>
  <c r="P186" s="1"/>
  <c r="L174"/>
  <c r="P174" s="1"/>
  <c r="L178"/>
  <c r="P178" s="1"/>
  <c r="L182"/>
  <c r="P182" s="1"/>
  <c r="L311"/>
  <c r="P311" s="1"/>
  <c r="L284"/>
  <c r="P284" s="1"/>
  <c r="L277"/>
  <c r="P277" s="1"/>
  <c r="L268"/>
  <c r="P268" s="1"/>
  <c r="L232"/>
  <c r="P232" s="1"/>
  <c r="L216"/>
  <c r="P216" s="1"/>
  <c r="L222"/>
  <c r="P222" s="1"/>
  <c r="L206"/>
  <c r="P206" s="1"/>
  <c r="L193"/>
  <c r="P193" s="1"/>
  <c r="L187"/>
  <c r="P187" s="1"/>
  <c r="L175"/>
  <c r="P175" s="1"/>
  <c r="L179"/>
  <c r="P179" s="1"/>
  <c r="L163"/>
  <c r="P163" s="1"/>
  <c r="P357"/>
  <c r="G319" i="10"/>
  <c r="G288"/>
  <c r="G210"/>
  <c r="L310" i="9"/>
  <c r="P310" s="1"/>
  <c r="L307"/>
  <c r="P307" s="1"/>
  <c r="G204" i="10"/>
  <c r="G299"/>
  <c r="G283"/>
  <c r="G272"/>
  <c r="G227"/>
  <c r="AI161"/>
  <c r="K161"/>
  <c r="K14" s="1"/>
  <c r="K12" s="1"/>
  <c r="U14"/>
  <c r="U12" s="1"/>
  <c r="C14"/>
  <c r="C12" s="1"/>
  <c r="H359"/>
  <c r="M161"/>
  <c r="M14" s="1"/>
  <c r="M12" s="1"/>
  <c r="Q161"/>
  <c r="Q14" s="1"/>
  <c r="Q12" s="1"/>
  <c r="S161"/>
  <c r="S14" s="1"/>
  <c r="S12" s="1"/>
  <c r="H108"/>
  <c r="G108" s="1"/>
  <c r="I161"/>
  <c r="I14" s="1"/>
  <c r="I12" s="1"/>
  <c r="O161"/>
  <c r="O14" s="1"/>
  <c r="O12" s="1"/>
  <c r="AB161"/>
  <c r="AB14" s="1"/>
  <c r="AB12" s="1"/>
  <c r="Z14"/>
  <c r="Z12" s="1"/>
  <c r="H231"/>
  <c r="L127" i="9"/>
  <c r="P127" s="1"/>
  <c r="E129" i="10"/>
  <c r="E127"/>
  <c r="L125" i="9"/>
  <c r="P125" s="1"/>
  <c r="E123" i="10"/>
  <c r="L121" i="9"/>
  <c r="P121" s="1"/>
  <c r="E117" i="10"/>
  <c r="L115" i="9"/>
  <c r="P115" s="1"/>
  <c r="E115" i="10"/>
  <c r="L113" i="9"/>
  <c r="P113" s="1"/>
  <c r="E113" i="10"/>
  <c r="L111" i="9"/>
  <c r="P111" s="1"/>
  <c r="E111" i="10"/>
  <c r="L109" i="9"/>
  <c r="P109" s="1"/>
  <c r="E109" i="10"/>
  <c r="L107" i="9"/>
  <c r="P107" s="1"/>
  <c r="E104" i="10"/>
  <c r="L102" i="9"/>
  <c r="P102" s="1"/>
  <c r="E102" i="10"/>
  <c r="L100" i="9"/>
  <c r="P100" s="1"/>
  <c r="E100" i="10"/>
  <c r="L98" i="9"/>
  <c r="P98" s="1"/>
  <c r="E98" i="10"/>
  <c r="L96" i="9"/>
  <c r="P96" s="1"/>
  <c r="E96" i="10"/>
  <c r="L94" i="9"/>
  <c r="P94" s="1"/>
  <c r="E94" i="10"/>
  <c r="L92" i="9"/>
  <c r="P92" s="1"/>
  <c r="E92" i="10"/>
  <c r="L90" i="9"/>
  <c r="P90" s="1"/>
  <c r="E88" i="10"/>
  <c r="L86" i="9"/>
  <c r="P86" s="1"/>
  <c r="L84"/>
  <c r="P84" s="1"/>
  <c r="E86" i="10"/>
  <c r="L82" i="9"/>
  <c r="P82" s="1"/>
  <c r="E84" i="10"/>
  <c r="E79"/>
  <c r="L77" i="9"/>
  <c r="P77" s="1"/>
  <c r="E77" i="10"/>
  <c r="L75" i="9"/>
  <c r="P75" s="1"/>
  <c r="E75" i="10"/>
  <c r="L73" i="9"/>
  <c r="P73" s="1"/>
  <c r="E73" i="10"/>
  <c r="L71" i="9"/>
  <c r="P71" s="1"/>
  <c r="E71" i="10"/>
  <c r="L69" i="9"/>
  <c r="P69" s="1"/>
  <c r="E69" i="10"/>
  <c r="L67" i="9"/>
  <c r="P67" s="1"/>
  <c r="E60" i="10"/>
  <c r="L58" i="9"/>
  <c r="P58" s="1"/>
  <c r="E58" i="10"/>
  <c r="L56" i="9"/>
  <c r="P56" s="1"/>
  <c r="E56" i="10"/>
  <c r="L54" i="9"/>
  <c r="P54" s="1"/>
  <c r="E54" i="10"/>
  <c r="L52" i="9"/>
  <c r="P52" s="1"/>
  <c r="L50"/>
  <c r="P50" s="1"/>
  <c r="E52" i="10"/>
  <c r="L48" i="9"/>
  <c r="P48" s="1"/>
  <c r="E50" i="10"/>
  <c r="L46" i="9"/>
  <c r="P46" s="1"/>
  <c r="E48" i="10"/>
  <c r="L44" i="9"/>
  <c r="P44" s="1"/>
  <c r="E46" i="10"/>
  <c r="L42" i="9"/>
  <c r="P42" s="1"/>
  <c r="E44" i="10"/>
  <c r="L40" i="9"/>
  <c r="P40" s="1"/>
  <c r="E42" i="10"/>
  <c r="L30" i="9"/>
  <c r="P30" s="1"/>
  <c r="E32" i="10"/>
  <c r="L28" i="9"/>
  <c r="P28" s="1"/>
  <c r="E30" i="10"/>
  <c r="L26" i="9"/>
  <c r="P26" s="1"/>
  <c r="E28" i="10"/>
  <c r="L24" i="9"/>
  <c r="P24" s="1"/>
  <c r="E26" i="10"/>
  <c r="L22" i="9"/>
  <c r="P22" s="1"/>
  <c r="E24" i="10"/>
  <c r="L20" i="9"/>
  <c r="P20" s="1"/>
  <c r="E22" i="10"/>
  <c r="L18" i="9"/>
  <c r="P18" s="1"/>
  <c r="E20" i="10"/>
  <c r="L16" i="9"/>
  <c r="P16" s="1"/>
  <c r="E18" i="10"/>
  <c r="P328" i="9"/>
  <c r="P331" s="1"/>
  <c r="L331"/>
  <c r="F42" i="11" s="1"/>
  <c r="P345" i="9"/>
  <c r="P355" s="1"/>
  <c r="L355"/>
  <c r="F45" i="11" s="1"/>
  <c r="P322" i="9"/>
  <c r="P323" s="1"/>
  <c r="L323"/>
  <c r="F40" i="11" s="1"/>
  <c r="L306" i="9"/>
  <c r="L302"/>
  <c r="L291"/>
  <c r="L272"/>
  <c r="L263"/>
  <c r="L241"/>
  <c r="L238"/>
  <c r="L231"/>
  <c r="AJ227" i="10"/>
  <c r="L14" i="9"/>
  <c r="E16" i="10"/>
  <c r="E131"/>
  <c r="L129" i="9"/>
  <c r="P129" s="1"/>
  <c r="L124"/>
  <c r="P124" s="1"/>
  <c r="E126" i="10"/>
  <c r="L120" i="9"/>
  <c r="P120" s="1"/>
  <c r="E122" i="10"/>
  <c r="L116" i="9"/>
  <c r="P116" s="1"/>
  <c r="E118" i="10"/>
  <c r="L114" i="9"/>
  <c r="P114" s="1"/>
  <c r="E116" i="10"/>
  <c r="L112" i="9"/>
  <c r="P112" s="1"/>
  <c r="E114" i="10"/>
  <c r="L108" i="9"/>
  <c r="P108" s="1"/>
  <c r="E110" i="10"/>
  <c r="L103" i="9"/>
  <c r="P103" s="1"/>
  <c r="E105" i="10"/>
  <c r="L101" i="9"/>
  <c r="P101" s="1"/>
  <c r="E103" i="10"/>
  <c r="L99" i="9"/>
  <c r="P99" s="1"/>
  <c r="E101" i="10"/>
  <c r="L97" i="9"/>
  <c r="P97" s="1"/>
  <c r="E99" i="10"/>
  <c r="L95" i="9"/>
  <c r="P95" s="1"/>
  <c r="E97" i="10"/>
  <c r="L93" i="9"/>
  <c r="P93" s="1"/>
  <c r="E95" i="10"/>
  <c r="L87" i="9"/>
  <c r="P87" s="1"/>
  <c r="E89" i="10"/>
  <c r="E85"/>
  <c r="L83" i="9"/>
  <c r="P83" s="1"/>
  <c r="L79"/>
  <c r="P79" s="1"/>
  <c r="E81" i="10"/>
  <c r="L76" i="9"/>
  <c r="P76" s="1"/>
  <c r="E78" i="10"/>
  <c r="L74" i="9"/>
  <c r="P74" s="1"/>
  <c r="E76" i="10"/>
  <c r="E72"/>
  <c r="L70" i="9"/>
  <c r="P70" s="1"/>
  <c r="E70" i="10"/>
  <c r="L68" i="9"/>
  <c r="P68" s="1"/>
  <c r="E66" i="10"/>
  <c r="L64" i="9"/>
  <c r="P64" s="1"/>
  <c r="E64" i="10"/>
  <c r="L62" i="9"/>
  <c r="P62" s="1"/>
  <c r="E61" i="10"/>
  <c r="L59" i="9"/>
  <c r="P59" s="1"/>
  <c r="E59" i="10"/>
  <c r="L57" i="9"/>
  <c r="P57" s="1"/>
  <c r="E55" i="10"/>
  <c r="L53" i="9"/>
  <c r="P53" s="1"/>
  <c r="E53" i="10"/>
  <c r="L51" i="9"/>
  <c r="P51" s="1"/>
  <c r="E51" i="10"/>
  <c r="L49" i="9"/>
  <c r="P49" s="1"/>
  <c r="E49" i="10"/>
  <c r="L47" i="9"/>
  <c r="P47" s="1"/>
  <c r="E47" i="10"/>
  <c r="L45" i="9"/>
  <c r="P45" s="1"/>
  <c r="E43" i="10"/>
  <c r="L41" i="9"/>
  <c r="P41" s="1"/>
  <c r="E31" i="10"/>
  <c r="L29" i="9"/>
  <c r="P29" s="1"/>
  <c r="E29" i="10"/>
  <c r="L27" i="9"/>
  <c r="P27" s="1"/>
  <c r="E27" i="10"/>
  <c r="L25" i="9"/>
  <c r="P25" s="1"/>
  <c r="E25" i="10"/>
  <c r="L23" i="9"/>
  <c r="P23" s="1"/>
  <c r="E21" i="10"/>
  <c r="L19" i="9"/>
  <c r="P19" s="1"/>
  <c r="E19" i="10"/>
  <c r="L17" i="9"/>
  <c r="P17" s="1"/>
  <c r="E17" i="10"/>
  <c r="L15" i="9"/>
  <c r="P15" s="1"/>
  <c r="P319"/>
  <c r="P320" s="1"/>
  <c r="L320"/>
  <c r="F39" i="11" s="1"/>
  <c r="P325" i="9"/>
  <c r="P326" s="1"/>
  <c r="L326"/>
  <c r="F41" i="11" s="1"/>
  <c r="P333" i="9"/>
  <c r="P340" s="1"/>
  <c r="L340"/>
  <c r="F43" i="11" s="1"/>
  <c r="P342" i="9"/>
  <c r="L343"/>
  <c r="F44" i="11" s="1"/>
  <c r="L314" i="9"/>
  <c r="L299"/>
  <c r="L288"/>
  <c r="L283"/>
  <c r="L260"/>
  <c r="L244"/>
  <c r="AK227" i="10"/>
  <c r="L162" i="9"/>
  <c r="P162" s="1"/>
  <c r="E128" i="10"/>
  <c r="H227"/>
  <c r="H299"/>
  <c r="G147"/>
  <c r="AK121"/>
  <c r="AK142"/>
  <c r="G146"/>
  <c r="H130"/>
  <c r="G130" s="1"/>
  <c r="H132"/>
  <c r="G132" s="1"/>
  <c r="G174"/>
  <c r="L297" i="9"/>
  <c r="F33" i="11" s="1"/>
  <c r="H139" i="10"/>
  <c r="G139" s="1"/>
  <c r="G151"/>
  <c r="G149"/>
  <c r="G150"/>
  <c r="X185"/>
  <c r="G62"/>
  <c r="AM62"/>
  <c r="AJ121"/>
  <c r="H80"/>
  <c r="G80" s="1"/>
  <c r="AJ142"/>
  <c r="G145"/>
  <c r="P297" i="9"/>
  <c r="E134" i="10"/>
  <c r="L132" i="9"/>
  <c r="P132" s="1"/>
  <c r="E137" i="10"/>
  <c r="L135" i="9"/>
  <c r="P135" s="1"/>
  <c r="E148" i="10"/>
  <c r="E152"/>
  <c r="H154"/>
  <c r="G154" s="1"/>
  <c r="P343" i="9" l="1"/>
  <c r="P692"/>
  <c r="P188"/>
  <c r="P197"/>
  <c r="L197"/>
  <c r="F14" i="11" s="1"/>
  <c r="L188" i="9"/>
  <c r="F13" i="11" s="1"/>
  <c r="G260" i="10"/>
  <c r="P312" i="9"/>
  <c r="P253"/>
  <c r="P258" s="1"/>
  <c r="L258"/>
  <c r="F24" i="11" s="1"/>
  <c r="L202" i="9"/>
  <c r="F15" i="11" s="1"/>
  <c r="L225" i="9"/>
  <c r="F17" i="11" s="1"/>
  <c r="L270" i="9"/>
  <c r="F27" i="11" s="1"/>
  <c r="L281" i="9"/>
  <c r="F29" i="11" s="1"/>
  <c r="L208" i="9"/>
  <c r="F16" i="11" s="1"/>
  <c r="L145" i="9"/>
  <c r="P145" s="1"/>
  <c r="L147"/>
  <c r="P147" s="1"/>
  <c r="L148"/>
  <c r="P148" s="1"/>
  <c r="L149"/>
  <c r="P149" s="1"/>
  <c r="L144"/>
  <c r="P144" s="1"/>
  <c r="P208"/>
  <c r="L150"/>
  <c r="P150" s="1"/>
  <c r="L134"/>
  <c r="P134" s="1"/>
  <c r="P202"/>
  <c r="P225"/>
  <c r="P270"/>
  <c r="P281"/>
  <c r="E136" i="10"/>
  <c r="G185"/>
  <c r="L85" i="9"/>
  <c r="P85" s="1"/>
  <c r="L312"/>
  <c r="F37" i="11" s="1"/>
  <c r="F47"/>
  <c r="L357" i="9"/>
  <c r="AI14" i="10"/>
  <c r="AI12" s="1"/>
  <c r="E108"/>
  <c r="H161"/>
  <c r="H14" s="1"/>
  <c r="P14" i="9"/>
  <c r="L227"/>
  <c r="P283"/>
  <c r="P286" s="1"/>
  <c r="L286"/>
  <c r="F30" i="11" s="1"/>
  <c r="P231" i="9"/>
  <c r="P233" s="1"/>
  <c r="L233"/>
  <c r="F19" i="11" s="1"/>
  <c r="P263" i="9"/>
  <c r="P264" s="1"/>
  <c r="L264"/>
  <c r="F26" i="11" s="1"/>
  <c r="P302" i="9"/>
  <c r="P304" s="1"/>
  <c r="L304"/>
  <c r="F35" i="11" s="1"/>
  <c r="P306" i="9"/>
  <c r="P308" s="1"/>
  <c r="L308"/>
  <c r="F36" i="11" s="1"/>
  <c r="P244" i="9"/>
  <c r="P245" s="1"/>
  <c r="L245"/>
  <c r="F23" i="11" s="1"/>
  <c r="L261" i="9"/>
  <c r="F25" i="11" s="1"/>
  <c r="P260" i="9"/>
  <c r="P261" s="1"/>
  <c r="P288"/>
  <c r="P289" s="1"/>
  <c r="L289"/>
  <c r="F31" i="11" s="1"/>
  <c r="P299" i="9"/>
  <c r="P300" s="1"/>
  <c r="L300"/>
  <c r="F34" i="11" s="1"/>
  <c r="L317" i="9"/>
  <c r="F38" i="11" s="1"/>
  <c r="P314" i="9"/>
  <c r="P317" s="1"/>
  <c r="P238"/>
  <c r="P239" s="1"/>
  <c r="L239"/>
  <c r="F21" i="11" s="1"/>
  <c r="P241" i="9"/>
  <c r="P242" s="1"/>
  <c r="L242"/>
  <c r="F22" i="11" s="1"/>
  <c r="P272" i="9"/>
  <c r="P273" s="1"/>
  <c r="L273"/>
  <c r="F28" i="11" s="1"/>
  <c r="P291" i="9"/>
  <c r="P292" s="1"/>
  <c r="L292"/>
  <c r="F32" i="11" s="1"/>
  <c r="E146" i="10"/>
  <c r="L165" i="9"/>
  <c r="P165" s="1"/>
  <c r="P168" s="1"/>
  <c r="L126"/>
  <c r="P126" s="1"/>
  <c r="E149" i="10"/>
  <c r="L60" i="9"/>
  <c r="P60" s="1"/>
  <c r="E147" i="10"/>
  <c r="G121"/>
  <c r="L172" i="9"/>
  <c r="L183" s="1"/>
  <c r="F12" i="11" s="1"/>
  <c r="E151" i="10"/>
  <c r="G142"/>
  <c r="E150"/>
  <c r="E62"/>
  <c r="E87"/>
  <c r="E130"/>
  <c r="L128" i="9"/>
  <c r="P128" s="1"/>
  <c r="E154" i="10"/>
  <c r="L152" i="9"/>
  <c r="P152" s="1"/>
  <c r="E139" i="10"/>
  <c r="L137" i="9"/>
  <c r="P137" s="1"/>
  <c r="E135" i="10"/>
  <c r="L133" i="9"/>
  <c r="P133" s="1"/>
  <c r="E132" i="10"/>
  <c r="L130" i="9"/>
  <c r="P130" s="1"/>
  <c r="E145" i="10"/>
  <c r="L143" i="9"/>
  <c r="P143" s="1"/>
  <c r="E125" i="10"/>
  <c r="L123" i="9"/>
  <c r="P123" s="1"/>
  <c r="E80" i="10"/>
  <c r="L78" i="9"/>
  <c r="L122"/>
  <c r="P122" s="1"/>
  <c r="E124" i="10"/>
  <c r="E133"/>
  <c r="L131" i="9"/>
  <c r="P131" s="1"/>
  <c r="L106"/>
  <c r="AM137" i="10"/>
  <c r="AM82"/>
  <c r="AM84"/>
  <c r="AM85"/>
  <c r="AM86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9"/>
  <c r="AM110"/>
  <c r="AM111"/>
  <c r="AM112"/>
  <c r="AM113"/>
  <c r="AM114"/>
  <c r="AM115"/>
  <c r="AM116"/>
  <c r="AM117"/>
  <c r="AM118"/>
  <c r="AM120"/>
  <c r="AM122"/>
  <c r="AM123"/>
  <c r="AM126"/>
  <c r="AM127"/>
  <c r="AM129"/>
  <c r="AM131"/>
  <c r="AM133"/>
  <c r="AM134"/>
  <c r="AM135"/>
  <c r="AM136"/>
  <c r="AM81"/>
  <c r="AM64"/>
  <c r="AM65"/>
  <c r="AM66"/>
  <c r="AM67"/>
  <c r="AM68"/>
  <c r="AM69"/>
  <c r="AM70"/>
  <c r="AM71"/>
  <c r="AM72"/>
  <c r="AM73"/>
  <c r="AM75"/>
  <c r="AM76"/>
  <c r="AM77"/>
  <c r="AM78"/>
  <c r="AM79"/>
  <c r="AM63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8"/>
  <c r="AM59"/>
  <c r="AM60"/>
  <c r="AM61"/>
  <c r="X36"/>
  <c r="X38"/>
  <c r="X45"/>
  <c r="X63"/>
  <c r="X68"/>
  <c r="X91"/>
  <c r="X112"/>
  <c r="X140"/>
  <c r="X141"/>
  <c r="X153"/>
  <c r="X155"/>
  <c r="X156"/>
  <c r="AK140"/>
  <c r="AK141"/>
  <c r="AK153"/>
  <c r="AK155"/>
  <c r="AK156"/>
  <c r="AJ140"/>
  <c r="AJ141"/>
  <c r="AJ153"/>
  <c r="AJ155"/>
  <c r="AJ156"/>
  <c r="I634" i="9"/>
  <c r="C73" i="11" s="1"/>
  <c r="J468" i="9"/>
  <c r="J448"/>
  <c r="J284"/>
  <c r="J269"/>
  <c r="J266"/>
  <c r="J191"/>
  <c r="J197" s="1"/>
  <c r="L156" i="7"/>
  <c r="M156"/>
  <c r="O156"/>
  <c r="P156"/>
  <c r="Q156"/>
  <c r="E145" i="5"/>
  <c r="N142" i="7" s="1"/>
  <c r="J492" i="9" l="1"/>
  <c r="J270"/>
  <c r="J286"/>
  <c r="L119"/>
  <c r="P119" s="1"/>
  <c r="E121" i="10"/>
  <c r="L140" i="9"/>
  <c r="P140" s="1"/>
  <c r="H12" i="10"/>
  <c r="X161"/>
  <c r="P227" i="9"/>
  <c r="P229" s="1"/>
  <c r="L229"/>
  <c r="F18" i="11" s="1"/>
  <c r="E142" i="10"/>
  <c r="L168" i="9"/>
  <c r="F11" i="11" s="1"/>
  <c r="P172" i="9"/>
  <c r="P183" s="1"/>
  <c r="I357"/>
  <c r="I10" s="1"/>
  <c r="AJ63" i="10"/>
  <c r="AK63"/>
  <c r="AK38"/>
  <c r="AJ38"/>
  <c r="AK36"/>
  <c r="AJ36"/>
  <c r="AK68"/>
  <c r="AJ68"/>
  <c r="AK45"/>
  <c r="AJ45"/>
  <c r="P78" i="9"/>
  <c r="AK112" i="10"/>
  <c r="AJ112"/>
  <c r="AK91"/>
  <c r="AJ91"/>
  <c r="P106" i="9"/>
  <c r="R142" i="7"/>
  <c r="S142"/>
  <c r="J12" i="9" l="1"/>
  <c r="J357"/>
  <c r="E128" i="5"/>
  <c r="N125" i="7" s="1"/>
  <c r="R125" s="1"/>
  <c r="E129" i="5"/>
  <c r="E130"/>
  <c r="N127" i="7" s="1"/>
  <c r="E131" i="5"/>
  <c r="N128" i="7" s="1"/>
  <c r="K125"/>
  <c r="E158" i="5"/>
  <c r="N155" i="7" s="1"/>
  <c r="R155" s="1"/>
  <c r="J10" i="9" l="1"/>
  <c r="R128" i="7"/>
  <c r="S128"/>
  <c r="R127"/>
  <c r="S127"/>
  <c r="K131"/>
  <c r="S125"/>
  <c r="N126"/>
  <c r="S126" s="1"/>
  <c r="S155"/>
  <c r="R126" l="1"/>
  <c r="E157" i="5" l="1"/>
  <c r="N154" i="7" s="1"/>
  <c r="R154" s="1"/>
  <c r="E127" i="5"/>
  <c r="N124" i="7" s="1"/>
  <c r="S124" s="1"/>
  <c r="E126" i="5"/>
  <c r="N123" i="7" s="1"/>
  <c r="S123" s="1"/>
  <c r="S154" l="1"/>
  <c r="R124"/>
  <c r="R123"/>
  <c r="D12" i="6" l="1"/>
  <c r="I12"/>
  <c r="C12"/>
  <c r="K153" i="7" l="1"/>
  <c r="K156" s="1"/>
  <c r="W247" i="5"/>
  <c r="K244" i="7" l="1"/>
  <c r="Q206" l="1"/>
  <c r="Q302"/>
  <c r="Q316"/>
  <c r="F341" i="5" l="1"/>
  <c r="G341"/>
  <c r="H341"/>
  <c r="I341"/>
  <c r="J341"/>
  <c r="L341"/>
  <c r="M341"/>
  <c r="N341"/>
  <c r="O341"/>
  <c r="P341"/>
  <c r="Q341"/>
  <c r="R341"/>
  <c r="S341"/>
  <c r="T341"/>
  <c r="U341"/>
  <c r="V341"/>
  <c r="F302"/>
  <c r="G302"/>
  <c r="H302"/>
  <c r="I302"/>
  <c r="J302"/>
  <c r="L302"/>
  <c r="M302"/>
  <c r="N302"/>
  <c r="O302"/>
  <c r="P302"/>
  <c r="Q302"/>
  <c r="R302"/>
  <c r="S302"/>
  <c r="T302"/>
  <c r="U302"/>
  <c r="V302"/>
  <c r="I345" l="1"/>
  <c r="I306"/>
  <c r="I246"/>
  <c r="I243"/>
  <c r="I226"/>
  <c r="I336"/>
  <c r="L330"/>
  <c r="I330"/>
  <c r="E324"/>
  <c r="E300"/>
  <c r="L296"/>
  <c r="E297"/>
  <c r="I292"/>
  <c r="I282"/>
  <c r="I278"/>
  <c r="L278"/>
  <c r="I272"/>
  <c r="L253"/>
  <c r="I253"/>
  <c r="I249"/>
  <c r="L249"/>
  <c r="I299"/>
  <c r="L299"/>
  <c r="F292"/>
  <c r="G292"/>
  <c r="H292"/>
  <c r="J292"/>
  <c r="K292"/>
  <c r="L292"/>
  <c r="M292"/>
  <c r="N292"/>
  <c r="O292"/>
  <c r="P292"/>
  <c r="Q292"/>
  <c r="R292"/>
  <c r="S292"/>
  <c r="T292"/>
  <c r="U292"/>
  <c r="V292"/>
  <c r="E294"/>
  <c r="E293"/>
  <c r="E290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F278"/>
  <c r="G278"/>
  <c r="H278"/>
  <c r="J278"/>
  <c r="K278"/>
  <c r="M278"/>
  <c r="N278"/>
  <c r="O278"/>
  <c r="P278"/>
  <c r="Q278"/>
  <c r="R278"/>
  <c r="S278"/>
  <c r="T278"/>
  <c r="U278"/>
  <c r="V278"/>
  <c r="F285"/>
  <c r="G285"/>
  <c r="H285"/>
  <c r="I285"/>
  <c r="J285"/>
  <c r="L285"/>
  <c r="M285"/>
  <c r="N285"/>
  <c r="O285"/>
  <c r="P285"/>
  <c r="Q285"/>
  <c r="R285"/>
  <c r="S285"/>
  <c r="T285"/>
  <c r="U285"/>
  <c r="V285"/>
  <c r="F282"/>
  <c r="G282"/>
  <c r="H282"/>
  <c r="J282"/>
  <c r="K282"/>
  <c r="L282"/>
  <c r="M282"/>
  <c r="N282"/>
  <c r="O282"/>
  <c r="P282"/>
  <c r="Q282"/>
  <c r="R282"/>
  <c r="S282"/>
  <c r="T282"/>
  <c r="U282"/>
  <c r="V282"/>
  <c r="E292" l="1"/>
  <c r="E299"/>
  <c r="E323"/>
  <c r="T323"/>
  <c r="I239" l="1"/>
  <c r="I268"/>
  <c r="I260"/>
  <c r="I257"/>
  <c r="L239"/>
  <c r="E237" l="1"/>
  <c r="N234" i="7" l="1"/>
  <c r="H11" i="6" l="1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D31"/>
  <c r="C31"/>
  <c r="I29"/>
  <c r="I28"/>
  <c r="I27"/>
  <c r="I26"/>
  <c r="I25"/>
  <c r="I21"/>
  <c r="I15"/>
  <c r="I16"/>
  <c r="I17"/>
  <c r="I18"/>
  <c r="I19"/>
  <c r="I20"/>
  <c r="I22"/>
  <c r="I13"/>
  <c r="I14"/>
  <c r="I23"/>
  <c r="I24"/>
  <c r="I30"/>
  <c r="I31"/>
  <c r="I54"/>
  <c r="I55"/>
  <c r="D13"/>
  <c r="C13"/>
  <c r="I11" l="1"/>
  <c r="I10" s="1"/>
  <c r="E156" i="5" l="1"/>
  <c r="E163"/>
  <c r="N153" i="7" l="1"/>
  <c r="S153" s="1"/>
  <c r="F217" i="5" l="1"/>
  <c r="G217"/>
  <c r="H217"/>
  <c r="I217"/>
  <c r="J217"/>
  <c r="K217"/>
  <c r="M217"/>
  <c r="N217"/>
  <c r="O217"/>
  <c r="P217"/>
  <c r="Q217"/>
  <c r="R217"/>
  <c r="S217"/>
  <c r="T217"/>
  <c r="U217"/>
  <c r="V217"/>
  <c r="F213"/>
  <c r="G213"/>
  <c r="H213"/>
  <c r="I213"/>
  <c r="J213"/>
  <c r="K213"/>
  <c r="M213"/>
  <c r="N213"/>
  <c r="O213"/>
  <c r="P213"/>
  <c r="Q213"/>
  <c r="R213"/>
  <c r="S213"/>
  <c r="T213"/>
  <c r="U213"/>
  <c r="V213"/>
  <c r="F210"/>
  <c r="G210"/>
  <c r="H210"/>
  <c r="I210"/>
  <c r="J210"/>
  <c r="L210"/>
  <c r="M210"/>
  <c r="N210"/>
  <c r="O210"/>
  <c r="P210"/>
  <c r="Q210"/>
  <c r="R210"/>
  <c r="S210"/>
  <c r="T210"/>
  <c r="U210"/>
  <c r="V210"/>
  <c r="F203"/>
  <c r="G203"/>
  <c r="H203"/>
  <c r="I203"/>
  <c r="J203"/>
  <c r="K203"/>
  <c r="M203"/>
  <c r="N203"/>
  <c r="O203"/>
  <c r="P203"/>
  <c r="Q203"/>
  <c r="R203"/>
  <c r="S203"/>
  <c r="T203"/>
  <c r="U203"/>
  <c r="V203"/>
  <c r="F207"/>
  <c r="G207"/>
  <c r="H207"/>
  <c r="I207"/>
  <c r="J207"/>
  <c r="K207"/>
  <c r="M207"/>
  <c r="N207"/>
  <c r="O207"/>
  <c r="P207"/>
  <c r="Q207"/>
  <c r="R207"/>
  <c r="S207"/>
  <c r="T207"/>
  <c r="U207"/>
  <c r="V207"/>
  <c r="O199" i="7"/>
  <c r="P199"/>
  <c r="Q199"/>
  <c r="J199"/>
  <c r="C20" i="6" s="1"/>
  <c r="K199" i="7"/>
  <c r="L199"/>
  <c r="M199"/>
  <c r="O169"/>
  <c r="P169"/>
  <c r="Q169"/>
  <c r="J169"/>
  <c r="C16" i="6" s="1"/>
  <c r="K169" i="7"/>
  <c r="L169"/>
  <c r="M169"/>
  <c r="D16" i="6" s="1"/>
  <c r="O161" i="7"/>
  <c r="P161"/>
  <c r="Q161"/>
  <c r="J161"/>
  <c r="C15" i="6" s="1"/>
  <c r="K161" i="7"/>
  <c r="L161"/>
  <c r="M161"/>
  <c r="D15" i="6" s="1"/>
  <c r="N160" i="7"/>
  <c r="F186" i="5"/>
  <c r="G186"/>
  <c r="H186"/>
  <c r="I186"/>
  <c r="J186"/>
  <c r="K186"/>
  <c r="M186"/>
  <c r="N186"/>
  <c r="O186"/>
  <c r="P186"/>
  <c r="Q186"/>
  <c r="R186"/>
  <c r="S186"/>
  <c r="T186"/>
  <c r="U186"/>
  <c r="V186"/>
  <c r="F177"/>
  <c r="G177"/>
  <c r="H177"/>
  <c r="I177"/>
  <c r="J177"/>
  <c r="K177"/>
  <c r="M177"/>
  <c r="N177"/>
  <c r="O177"/>
  <c r="P177"/>
  <c r="Q177"/>
  <c r="R177"/>
  <c r="S177"/>
  <c r="T177"/>
  <c r="U177"/>
  <c r="V177"/>
  <c r="F173"/>
  <c r="G173"/>
  <c r="H173"/>
  <c r="I173"/>
  <c r="J173"/>
  <c r="K173"/>
  <c r="M173"/>
  <c r="N173"/>
  <c r="O173"/>
  <c r="P173"/>
  <c r="Q173"/>
  <c r="R173"/>
  <c r="S173"/>
  <c r="T173"/>
  <c r="U173"/>
  <c r="V173"/>
  <c r="F160"/>
  <c r="G160"/>
  <c r="H160"/>
  <c r="I160"/>
  <c r="J160"/>
  <c r="M160"/>
  <c r="N160"/>
  <c r="O160"/>
  <c r="P160"/>
  <c r="Q160"/>
  <c r="R160"/>
  <c r="S160"/>
  <c r="T160"/>
  <c r="U160"/>
  <c r="V160"/>
  <c r="F165"/>
  <c r="G165"/>
  <c r="H165"/>
  <c r="I165"/>
  <c r="J165"/>
  <c r="K165"/>
  <c r="M165"/>
  <c r="N165"/>
  <c r="O165"/>
  <c r="P165"/>
  <c r="Q165"/>
  <c r="R165"/>
  <c r="S165"/>
  <c r="T165"/>
  <c r="U165"/>
  <c r="V165"/>
  <c r="R153" i="7"/>
  <c r="D20" i="6" l="1"/>
  <c r="S16" i="5"/>
  <c r="Q16"/>
  <c r="Q14" s="1"/>
  <c r="M16"/>
  <c r="M14" s="1"/>
  <c r="V16"/>
  <c r="R16"/>
  <c r="N16"/>
  <c r="T16"/>
  <c r="G16"/>
  <c r="G14" s="1"/>
  <c r="O16"/>
  <c r="O14" s="1"/>
  <c r="U16"/>
  <c r="H16"/>
  <c r="E178"/>
  <c r="I183"/>
  <c r="E190"/>
  <c r="E191"/>
  <c r="E192"/>
  <c r="N188" i="7" l="1"/>
  <c r="N186"/>
  <c r="N189"/>
  <c r="N187"/>
  <c r="E180" i="5"/>
  <c r="E193"/>
  <c r="L183"/>
  <c r="E181"/>
  <c r="E188"/>
  <c r="L177"/>
  <c r="E187"/>
  <c r="N175" i="7"/>
  <c r="E184" i="5"/>
  <c r="E179"/>
  <c r="K256" i="7"/>
  <c r="L256"/>
  <c r="M256"/>
  <c r="D34" i="6" s="1"/>
  <c r="O256" i="7"/>
  <c r="P256"/>
  <c r="Q256"/>
  <c r="J256"/>
  <c r="C34" i="6" s="1"/>
  <c r="E177" i="5" l="1"/>
  <c r="E183"/>
  <c r="N178" i="7"/>
  <c r="N190"/>
  <c r="R190" s="1"/>
  <c r="N176"/>
  <c r="S176" s="1"/>
  <c r="N185"/>
  <c r="R185" s="1"/>
  <c r="N177"/>
  <c r="N184"/>
  <c r="K19" i="5"/>
  <c r="K20"/>
  <c r="K21"/>
  <c r="K22"/>
  <c r="K23"/>
  <c r="K24"/>
  <c r="K25"/>
  <c r="K26"/>
  <c r="E27"/>
  <c r="K28"/>
  <c r="K29"/>
  <c r="E29" s="1"/>
  <c r="K30"/>
  <c r="K31"/>
  <c r="K32"/>
  <c r="K33"/>
  <c r="K34"/>
  <c r="K35"/>
  <c r="K36"/>
  <c r="K37"/>
  <c r="J37" s="1"/>
  <c r="J18" s="1"/>
  <c r="K38"/>
  <c r="K39"/>
  <c r="K41"/>
  <c r="K42"/>
  <c r="K43"/>
  <c r="K44"/>
  <c r="K45"/>
  <c r="L45" s="1"/>
  <c r="K46"/>
  <c r="K47"/>
  <c r="K48"/>
  <c r="K49"/>
  <c r="K50"/>
  <c r="K51"/>
  <c r="K52"/>
  <c r="K53"/>
  <c r="K54"/>
  <c r="K55"/>
  <c r="K56"/>
  <c r="K57"/>
  <c r="K58"/>
  <c r="E58" s="1"/>
  <c r="K59"/>
  <c r="K60"/>
  <c r="E60" s="1"/>
  <c r="K61"/>
  <c r="K62"/>
  <c r="K63"/>
  <c r="K64"/>
  <c r="E64" s="1"/>
  <c r="K65"/>
  <c r="K66"/>
  <c r="K67"/>
  <c r="K68"/>
  <c r="E68" s="1"/>
  <c r="K69"/>
  <c r="K70"/>
  <c r="K71"/>
  <c r="K72"/>
  <c r="E72" s="1"/>
  <c r="K73"/>
  <c r="E73" s="1"/>
  <c r="K74"/>
  <c r="E75"/>
  <c r="K75"/>
  <c r="E76"/>
  <c r="K76"/>
  <c r="E77"/>
  <c r="K77"/>
  <c r="K78"/>
  <c r="K79"/>
  <c r="L80"/>
  <c r="K81"/>
  <c r="K82"/>
  <c r="K83"/>
  <c r="K84"/>
  <c r="K85"/>
  <c r="K86"/>
  <c r="K87"/>
  <c r="K88"/>
  <c r="L89"/>
  <c r="K90"/>
  <c r="K91"/>
  <c r="K92"/>
  <c r="E92" s="1"/>
  <c r="K93"/>
  <c r="E93" s="1"/>
  <c r="K94"/>
  <c r="K95"/>
  <c r="K96"/>
  <c r="K97"/>
  <c r="K98"/>
  <c r="L99"/>
  <c r="K100"/>
  <c r="E100" s="1"/>
  <c r="K101"/>
  <c r="E101" s="1"/>
  <c r="K102"/>
  <c r="E102" s="1"/>
  <c r="K103"/>
  <c r="E103" s="1"/>
  <c r="K105"/>
  <c r="K106"/>
  <c r="K107"/>
  <c r="K108"/>
  <c r="E108" s="1"/>
  <c r="K109"/>
  <c r="K110"/>
  <c r="K111"/>
  <c r="K112"/>
  <c r="K113"/>
  <c r="K114"/>
  <c r="K115"/>
  <c r="K116"/>
  <c r="K117"/>
  <c r="K118"/>
  <c r="K119"/>
  <c r="K120"/>
  <c r="K121"/>
  <c r="K122"/>
  <c r="E122" s="1"/>
  <c r="K123"/>
  <c r="K124"/>
  <c r="K125"/>
  <c r="K136"/>
  <c r="K135" s="1"/>
  <c r="E142"/>
  <c r="E148"/>
  <c r="K163"/>
  <c r="K160" s="1"/>
  <c r="E195"/>
  <c r="E197"/>
  <c r="E205"/>
  <c r="K211"/>
  <c r="K210" s="1"/>
  <c r="L217"/>
  <c r="I220"/>
  <c r="I223"/>
  <c r="R234" i="7"/>
  <c r="E240" i="5"/>
  <c r="E241"/>
  <c r="E286"/>
  <c r="K286"/>
  <c r="K287"/>
  <c r="I296"/>
  <c r="E303"/>
  <c r="K303"/>
  <c r="K302" s="1"/>
  <c r="I310"/>
  <c r="L310"/>
  <c r="E311"/>
  <c r="E312"/>
  <c r="E313"/>
  <c r="E314"/>
  <c r="I316"/>
  <c r="F320"/>
  <c r="I320"/>
  <c r="L321"/>
  <c r="I326"/>
  <c r="K343"/>
  <c r="K341" s="1"/>
  <c r="T91" i="7"/>
  <c r="C14" i="6"/>
  <c r="R160" i="7"/>
  <c r="J173"/>
  <c r="C17" i="6" s="1"/>
  <c r="K173" i="7"/>
  <c r="L173"/>
  <c r="M173"/>
  <c r="D17" i="6" s="1"/>
  <c r="O173" i="7"/>
  <c r="P173"/>
  <c r="Q173"/>
  <c r="R175"/>
  <c r="J179"/>
  <c r="C18" i="6" s="1"/>
  <c r="K179" i="7"/>
  <c r="L179"/>
  <c r="M179"/>
  <c r="D18" i="6" s="1"/>
  <c r="O179" i="7"/>
  <c r="P179"/>
  <c r="Q179"/>
  <c r="J182"/>
  <c r="C19" i="6" s="1"/>
  <c r="K182" i="7"/>
  <c r="L182"/>
  <c r="M182"/>
  <c r="D19" i="6" s="1"/>
  <c r="R186" i="7"/>
  <c r="T186"/>
  <c r="R187"/>
  <c r="R188"/>
  <c r="R189"/>
  <c r="T195"/>
  <c r="J203"/>
  <c r="C21" i="6" s="1"/>
  <c r="K203" i="7"/>
  <c r="L203"/>
  <c r="M203"/>
  <c r="D21" i="6" s="1"/>
  <c r="O203" i="7"/>
  <c r="P203"/>
  <c r="Q203"/>
  <c r="J206"/>
  <c r="C22" i="6" s="1"/>
  <c r="K206" i="7"/>
  <c r="L206"/>
  <c r="M206"/>
  <c r="D22" i="6" s="1"/>
  <c r="O206" i="7"/>
  <c r="P206"/>
  <c r="J209"/>
  <c r="C23" i="6" s="1"/>
  <c r="K209" i="7"/>
  <c r="L209"/>
  <c r="M209"/>
  <c r="D23" i="6" s="1"/>
  <c r="O209" i="7"/>
  <c r="P209"/>
  <c r="Q209"/>
  <c r="J213"/>
  <c r="C24" i="6" s="1"/>
  <c r="K213" i="7"/>
  <c r="L213"/>
  <c r="M213"/>
  <c r="D24" i="6" s="1"/>
  <c r="O213" i="7"/>
  <c r="P213"/>
  <c r="Q213"/>
  <c r="J216"/>
  <c r="C25" i="6" s="1"/>
  <c r="K216" i="7"/>
  <c r="L216"/>
  <c r="M216"/>
  <c r="D25" i="6" s="1"/>
  <c r="O216" i="7"/>
  <c r="P216"/>
  <c r="Q216"/>
  <c r="J219"/>
  <c r="C26" i="6" s="1"/>
  <c r="K219" i="7"/>
  <c r="L219"/>
  <c r="M219"/>
  <c r="D26" i="6" s="1"/>
  <c r="O219" i="7"/>
  <c r="P219"/>
  <c r="Q219"/>
  <c r="J222"/>
  <c r="C27" i="6" s="1"/>
  <c r="K222" i="7"/>
  <c r="L222"/>
  <c r="M222"/>
  <c r="D27" i="6" s="1"/>
  <c r="O222" i="7"/>
  <c r="P222"/>
  <c r="Q222"/>
  <c r="J235"/>
  <c r="C28" i="6" s="1"/>
  <c r="K235" i="7"/>
  <c r="L235"/>
  <c r="M235"/>
  <c r="D28" i="6" s="1"/>
  <c r="O235" i="7"/>
  <c r="P235"/>
  <c r="Q235"/>
  <c r="J239"/>
  <c r="C29" i="6" s="1"/>
  <c r="K239" i="7"/>
  <c r="L239"/>
  <c r="M239"/>
  <c r="D29" i="6" s="1"/>
  <c r="O239" i="7"/>
  <c r="P239"/>
  <c r="Q239"/>
  <c r="J242"/>
  <c r="C30" i="6" s="1"/>
  <c r="K242" i="7"/>
  <c r="L242"/>
  <c r="M242"/>
  <c r="D30" i="6" s="1"/>
  <c r="J249" i="7"/>
  <c r="C32" i="6" s="1"/>
  <c r="K249" i="7"/>
  <c r="L249"/>
  <c r="M249"/>
  <c r="D32" i="6" s="1"/>
  <c r="J253" i="7"/>
  <c r="C33" i="6" s="1"/>
  <c r="K253" i="7"/>
  <c r="L253"/>
  <c r="M253"/>
  <c r="D33" i="6" s="1"/>
  <c r="O253" i="7"/>
  <c r="P253"/>
  <c r="Q253"/>
  <c r="J264"/>
  <c r="C35" i="6" s="1"/>
  <c r="K264" i="7"/>
  <c r="L264"/>
  <c r="M264"/>
  <c r="D35" i="6" s="1"/>
  <c r="O264" i="7"/>
  <c r="P264"/>
  <c r="Q264"/>
  <c r="J268"/>
  <c r="C36" i="6" s="1"/>
  <c r="K268" i="7"/>
  <c r="L268"/>
  <c r="M268"/>
  <c r="D36" i="6" s="1"/>
  <c r="O268" i="7"/>
  <c r="P268"/>
  <c r="Q268"/>
  <c r="J274"/>
  <c r="C37" i="6" s="1"/>
  <c r="K274" i="7"/>
  <c r="L274"/>
  <c r="M274"/>
  <c r="D37" i="6" s="1"/>
  <c r="O274" i="7"/>
  <c r="P274"/>
  <c r="Q274"/>
  <c r="J278"/>
  <c r="C38" i="6" s="1"/>
  <c r="K278" i="7"/>
  <c r="L278"/>
  <c r="M278"/>
  <c r="D38" i="6" s="1"/>
  <c r="O278" i="7"/>
  <c r="P278"/>
  <c r="Q278"/>
  <c r="J281"/>
  <c r="C39" i="6" s="1"/>
  <c r="K281" i="7"/>
  <c r="L281"/>
  <c r="M281"/>
  <c r="D39" i="6" s="1"/>
  <c r="O281" i="7"/>
  <c r="P281"/>
  <c r="Q281"/>
  <c r="J285"/>
  <c r="C40" i="6" s="1"/>
  <c r="K285" i="7"/>
  <c r="L285"/>
  <c r="M285"/>
  <c r="D40" i="6" s="1"/>
  <c r="O285" i="7"/>
  <c r="P285"/>
  <c r="Q285"/>
  <c r="J288"/>
  <c r="C41" i="6" s="1"/>
  <c r="K288" i="7"/>
  <c r="L288"/>
  <c r="M288"/>
  <c r="D41" i="6" s="1"/>
  <c r="N290" i="7"/>
  <c r="S290" s="1"/>
  <c r="N291"/>
  <c r="R291" s="1"/>
  <c r="J292"/>
  <c r="C42" i="6" s="1"/>
  <c r="K292" i="7"/>
  <c r="L292"/>
  <c r="M292"/>
  <c r="D42" i="6" s="1"/>
  <c r="O292" i="7"/>
  <c r="P292"/>
  <c r="Q292"/>
  <c r="J295"/>
  <c r="C43" i="6" s="1"/>
  <c r="K295" i="7"/>
  <c r="L295"/>
  <c r="M295"/>
  <c r="D43" i="6" s="1"/>
  <c r="O295" i="7"/>
  <c r="P295"/>
  <c r="Q295"/>
  <c r="J298"/>
  <c r="C44" i="6" s="1"/>
  <c r="K298" i="7"/>
  <c r="L298"/>
  <c r="M298"/>
  <c r="D44" i="6" s="1"/>
  <c r="Q298" i="7"/>
  <c r="J302"/>
  <c r="C45" i="6" s="1"/>
  <c r="K302" i="7"/>
  <c r="L302"/>
  <c r="M302"/>
  <c r="D45" i="6" s="1"/>
  <c r="J306" i="7"/>
  <c r="C46" i="6" s="1"/>
  <c r="K306" i="7"/>
  <c r="L306"/>
  <c r="M306"/>
  <c r="D46" i="6" s="1"/>
  <c r="O306" i="7"/>
  <c r="P306"/>
  <c r="Q306"/>
  <c r="J312"/>
  <c r="C47" i="6" s="1"/>
  <c r="K312" i="7"/>
  <c r="L312"/>
  <c r="M312"/>
  <c r="D47" i="6" s="1"/>
  <c r="O312" i="7"/>
  <c r="P312"/>
  <c r="Q312"/>
  <c r="J316"/>
  <c r="C48" i="6" s="1"/>
  <c r="K316" i="7"/>
  <c r="L316"/>
  <c r="M316"/>
  <c r="D48" i="6" s="1"/>
  <c r="O316" i="7"/>
  <c r="P316"/>
  <c r="J319"/>
  <c r="C49" i="6" s="1"/>
  <c r="K319" i="7"/>
  <c r="L319"/>
  <c r="M319"/>
  <c r="D49" i="6" s="1"/>
  <c r="O319" i="7"/>
  <c r="P319"/>
  <c r="Q319"/>
  <c r="J322"/>
  <c r="C50" i="6" s="1"/>
  <c r="K322" i="7"/>
  <c r="L322"/>
  <c r="M322"/>
  <c r="D50" i="6" s="1"/>
  <c r="O322" i="7"/>
  <c r="P322"/>
  <c r="Q322"/>
  <c r="J326"/>
  <c r="C51" i="6" s="1"/>
  <c r="K326" i="7"/>
  <c r="L326"/>
  <c r="M326"/>
  <c r="D51" i="6" s="1"/>
  <c r="O326" i="7"/>
  <c r="P326"/>
  <c r="Q326"/>
  <c r="J332"/>
  <c r="C52" i="6" s="1"/>
  <c r="K332" i="7"/>
  <c r="L332"/>
  <c r="M332"/>
  <c r="D52" i="6" s="1"/>
  <c r="O332" i="7"/>
  <c r="P332"/>
  <c r="Q332"/>
  <c r="J337"/>
  <c r="C53" i="6" s="1"/>
  <c r="K337" i="7"/>
  <c r="L337"/>
  <c r="M337"/>
  <c r="D53" i="6" s="1"/>
  <c r="O337" i="7"/>
  <c r="P337"/>
  <c r="Q337"/>
  <c r="J341"/>
  <c r="C54" i="6" s="1"/>
  <c r="K341" i="7"/>
  <c r="L341"/>
  <c r="M341"/>
  <c r="D54" i="6" s="1"/>
  <c r="O341" i="7"/>
  <c r="P341"/>
  <c r="Q341"/>
  <c r="T355"/>
  <c r="J357"/>
  <c r="C55" i="6" s="1"/>
  <c r="K357" i="7"/>
  <c r="L357"/>
  <c r="M357"/>
  <c r="D55" i="6" s="1"/>
  <c r="O357" i="7"/>
  <c r="P357"/>
  <c r="Q357"/>
  <c r="E99" i="5" l="1"/>
  <c r="N96" i="7" s="1"/>
  <c r="E89" i="5"/>
  <c r="E80"/>
  <c r="K18"/>
  <c r="E33"/>
  <c r="N30" i="7" s="1"/>
  <c r="J16" i="5"/>
  <c r="R176" i="7"/>
  <c r="Q14"/>
  <c r="Q12" s="1"/>
  <c r="N310"/>
  <c r="R310" s="1"/>
  <c r="N308"/>
  <c r="R308" s="1"/>
  <c r="N300"/>
  <c r="R300" s="1"/>
  <c r="N238"/>
  <c r="R238" s="1"/>
  <c r="N194"/>
  <c r="R194" s="1"/>
  <c r="N139"/>
  <c r="S139" s="1"/>
  <c r="N119"/>
  <c r="N105"/>
  <c r="N100"/>
  <c r="N98"/>
  <c r="N90"/>
  <c r="N69"/>
  <c r="N65"/>
  <c r="N61"/>
  <c r="N57"/>
  <c r="N55"/>
  <c r="N26"/>
  <c r="S26" s="1"/>
  <c r="N340"/>
  <c r="R340" s="1"/>
  <c r="N311"/>
  <c r="R311" s="1"/>
  <c r="N309"/>
  <c r="R309" s="1"/>
  <c r="N284"/>
  <c r="R284" s="1"/>
  <c r="N283"/>
  <c r="R283" s="1"/>
  <c r="N202"/>
  <c r="S202" s="1"/>
  <c r="N192"/>
  <c r="N99"/>
  <c r="N97"/>
  <c r="N89"/>
  <c r="N74"/>
  <c r="N73"/>
  <c r="N72"/>
  <c r="N70"/>
  <c r="N24"/>
  <c r="S24" s="1"/>
  <c r="N77"/>
  <c r="K285" i="5"/>
  <c r="L320"/>
  <c r="N86" i="7"/>
  <c r="E45" i="5"/>
  <c r="P16"/>
  <c r="N237" i="7"/>
  <c r="R237" s="1"/>
  <c r="E239" i="5"/>
  <c r="I16"/>
  <c r="I14" s="1"/>
  <c r="E357"/>
  <c r="E355"/>
  <c r="E351"/>
  <c r="E347"/>
  <c r="E338"/>
  <c r="E333"/>
  <c r="E331"/>
  <c r="E328"/>
  <c r="E317"/>
  <c r="E308"/>
  <c r="E304"/>
  <c r="E280"/>
  <c r="E274"/>
  <c r="E269"/>
  <c r="E265"/>
  <c r="E263"/>
  <c r="E261"/>
  <c r="E250"/>
  <c r="L243"/>
  <c r="E236"/>
  <c r="E234"/>
  <c r="E231"/>
  <c r="E229"/>
  <c r="E215"/>
  <c r="L207"/>
  <c r="E200"/>
  <c r="E198"/>
  <c r="E196"/>
  <c r="E171"/>
  <c r="E169"/>
  <c r="E167"/>
  <c r="E154"/>
  <c r="E152"/>
  <c r="E150"/>
  <c r="E143"/>
  <c r="E141"/>
  <c r="E139"/>
  <c r="E138"/>
  <c r="E125"/>
  <c r="E123"/>
  <c r="E121"/>
  <c r="E119"/>
  <c r="E117"/>
  <c r="E115"/>
  <c r="E113"/>
  <c r="E109"/>
  <c r="E107"/>
  <c r="E105"/>
  <c r="E98"/>
  <c r="E96"/>
  <c r="E94"/>
  <c r="E90"/>
  <c r="E88"/>
  <c r="E86"/>
  <c r="E84"/>
  <c r="E82"/>
  <c r="E71"/>
  <c r="E67"/>
  <c r="E65"/>
  <c r="E63"/>
  <c r="E61"/>
  <c r="E57"/>
  <c r="E55"/>
  <c r="E53"/>
  <c r="E49"/>
  <c r="E48"/>
  <c r="E46"/>
  <c r="E44"/>
  <c r="E42"/>
  <c r="E38"/>
  <c r="E36"/>
  <c r="E34"/>
  <c r="E31"/>
  <c r="E25"/>
  <c r="E23"/>
  <c r="E20"/>
  <c r="E358"/>
  <c r="E356"/>
  <c r="E352"/>
  <c r="E348"/>
  <c r="E346"/>
  <c r="E342"/>
  <c r="E341" s="1"/>
  <c r="E334"/>
  <c r="E332"/>
  <c r="E318"/>
  <c r="E283"/>
  <c r="E279"/>
  <c r="E276"/>
  <c r="E270"/>
  <c r="E266"/>
  <c r="E264"/>
  <c r="E262"/>
  <c r="N259" i="7" s="1"/>
  <c r="S259" s="1"/>
  <c r="E251" i="5"/>
  <c r="L246"/>
  <c r="E235"/>
  <c r="E232"/>
  <c r="E230"/>
  <c r="E228"/>
  <c r="L223"/>
  <c r="L220"/>
  <c r="E201"/>
  <c r="E199"/>
  <c r="E170"/>
  <c r="E168"/>
  <c r="E162"/>
  <c r="E155"/>
  <c r="E153"/>
  <c r="E151"/>
  <c r="E144"/>
  <c r="E140"/>
  <c r="E124"/>
  <c r="E120"/>
  <c r="E118"/>
  <c r="E116"/>
  <c r="E114"/>
  <c r="E112"/>
  <c r="E110"/>
  <c r="E106"/>
  <c r="E97"/>
  <c r="E95"/>
  <c r="E91"/>
  <c r="E87"/>
  <c r="E85"/>
  <c r="E83"/>
  <c r="E81"/>
  <c r="E79"/>
  <c r="E70"/>
  <c r="E66"/>
  <c r="E62"/>
  <c r="E56"/>
  <c r="E54"/>
  <c r="E52"/>
  <c r="E47"/>
  <c r="E43"/>
  <c r="E41"/>
  <c r="E39"/>
  <c r="E35"/>
  <c r="E32"/>
  <c r="E28"/>
  <c r="E26"/>
  <c r="E22"/>
  <c r="E21"/>
  <c r="L257"/>
  <c r="E233"/>
  <c r="E30"/>
  <c r="E111"/>
  <c r="E59"/>
  <c r="E359"/>
  <c r="E353"/>
  <c r="E354"/>
  <c r="E350"/>
  <c r="E349"/>
  <c r="E339"/>
  <c r="E275"/>
  <c r="E255"/>
  <c r="E175"/>
  <c r="E69"/>
  <c r="E51"/>
  <c r="E50"/>
  <c r="D14" i="6"/>
  <c r="D11" s="1"/>
  <c r="D10" s="1"/>
  <c r="M14" i="7"/>
  <c r="M12" s="1"/>
  <c r="K14"/>
  <c r="K12" s="1"/>
  <c r="L14"/>
  <c r="C11" i="6"/>
  <c r="C10" s="1"/>
  <c r="N145" i="7"/>
  <c r="J14"/>
  <c r="J12" s="1"/>
  <c r="N297"/>
  <c r="R297" s="1"/>
  <c r="R298" s="1"/>
  <c r="L203" i="5"/>
  <c r="N321" i="7"/>
  <c r="E174" i="5"/>
  <c r="L173"/>
  <c r="E210"/>
  <c r="L186"/>
  <c r="L165"/>
  <c r="E161"/>
  <c r="L160"/>
  <c r="L213"/>
  <c r="E194"/>
  <c r="E214"/>
  <c r="E247"/>
  <c r="E244"/>
  <c r="L336"/>
  <c r="L326"/>
  <c r="E310"/>
  <c r="L306"/>
  <c r="L272"/>
  <c r="L345"/>
  <c r="E337"/>
  <c r="E327"/>
  <c r="E321"/>
  <c r="L316"/>
  <c r="E307"/>
  <c r="N294" i="7"/>
  <c r="R294" s="1"/>
  <c r="R295" s="1"/>
  <c r="E273" i="5"/>
  <c r="E258"/>
  <c r="E254"/>
  <c r="L226"/>
  <c r="E221"/>
  <c r="E204"/>
  <c r="E149"/>
  <c r="L37"/>
  <c r="L268"/>
  <c r="E285"/>
  <c r="L260"/>
  <c r="E227"/>
  <c r="E224"/>
  <c r="E218"/>
  <c r="E208"/>
  <c r="E166"/>
  <c r="E137"/>
  <c r="E40"/>
  <c r="S188" i="7"/>
  <c r="S190"/>
  <c r="S187"/>
  <c r="S185"/>
  <c r="S160"/>
  <c r="S234"/>
  <c r="S189"/>
  <c r="S186"/>
  <c r="R178"/>
  <c r="S178"/>
  <c r="P302"/>
  <c r="P14" s="1"/>
  <c r="P12" s="1"/>
  <c r="O302"/>
  <c r="O14" s="1"/>
  <c r="O12" s="1"/>
  <c r="L78" i="5"/>
  <c r="R290" i="7"/>
  <c r="R292" s="1"/>
  <c r="N292"/>
  <c r="S291"/>
  <c r="S175"/>
  <c r="S310" l="1"/>
  <c r="E147" i="5"/>
  <c r="E135"/>
  <c r="L18"/>
  <c r="R77" i="7"/>
  <c r="S77"/>
  <c r="R70"/>
  <c r="S70"/>
  <c r="R73"/>
  <c r="S73"/>
  <c r="R89"/>
  <c r="S89"/>
  <c r="R99"/>
  <c r="S99"/>
  <c r="R55"/>
  <c r="S55"/>
  <c r="R61"/>
  <c r="S61"/>
  <c r="R69"/>
  <c r="S69"/>
  <c r="R98"/>
  <c r="S98"/>
  <c r="R105"/>
  <c r="S105"/>
  <c r="R86"/>
  <c r="S86"/>
  <c r="R96"/>
  <c r="S96"/>
  <c r="R30"/>
  <c r="S30"/>
  <c r="R72"/>
  <c r="S72"/>
  <c r="R74"/>
  <c r="S74"/>
  <c r="R97"/>
  <c r="S97"/>
  <c r="R57"/>
  <c r="S57"/>
  <c r="R65"/>
  <c r="S65"/>
  <c r="R90"/>
  <c r="S90"/>
  <c r="R100"/>
  <c r="S100"/>
  <c r="R119"/>
  <c r="S119"/>
  <c r="J14" i="5"/>
  <c r="S300" i="7"/>
  <c r="R202"/>
  <c r="S309"/>
  <c r="R24"/>
  <c r="N42"/>
  <c r="S42" s="1"/>
  <c r="S283"/>
  <c r="S340"/>
  <c r="S308"/>
  <c r="N312"/>
  <c r="S312" s="1"/>
  <c r="E345" i="5"/>
  <c r="E260"/>
  <c r="R285" i="7"/>
  <c r="K16" i="5"/>
  <c r="S311" i="7"/>
  <c r="R145"/>
  <c r="N285"/>
  <c r="S285" s="1"/>
  <c r="S284"/>
  <c r="S238"/>
  <c r="S194"/>
  <c r="S321"/>
  <c r="R321"/>
  <c r="R322" s="1"/>
  <c r="R312"/>
  <c r="N205"/>
  <c r="R205" s="1"/>
  <c r="R206" s="1"/>
  <c r="E203" i="5"/>
  <c r="E257"/>
  <c r="N324" i="7"/>
  <c r="R324" s="1"/>
  <c r="N208"/>
  <c r="S208" s="1"/>
  <c r="N47"/>
  <c r="N66"/>
  <c r="N252"/>
  <c r="R252" s="1"/>
  <c r="N336"/>
  <c r="R336" s="1"/>
  <c r="N347"/>
  <c r="R347" s="1"/>
  <c r="N350"/>
  <c r="R350" s="1"/>
  <c r="N56"/>
  <c r="N36"/>
  <c r="N40"/>
  <c r="N49"/>
  <c r="N53"/>
  <c r="N63"/>
  <c r="N76"/>
  <c r="N80"/>
  <c r="N84"/>
  <c r="N92"/>
  <c r="N103"/>
  <c r="N109"/>
  <c r="N113"/>
  <c r="N117"/>
  <c r="N137"/>
  <c r="R137" s="1"/>
  <c r="N148"/>
  <c r="R148" s="1"/>
  <c r="N152"/>
  <c r="R152" s="1"/>
  <c r="N165"/>
  <c r="R165" s="1"/>
  <c r="N196"/>
  <c r="R196" s="1"/>
  <c r="N225"/>
  <c r="R225" s="1"/>
  <c r="N229"/>
  <c r="R229" s="1"/>
  <c r="R259"/>
  <c r="N263"/>
  <c r="R263" s="1"/>
  <c r="N273"/>
  <c r="R273" s="1"/>
  <c r="E282" i="5"/>
  <c r="N315" i="7"/>
  <c r="N331"/>
  <c r="R331" s="1"/>
  <c r="N343"/>
  <c r="R343" s="1"/>
  <c r="N349"/>
  <c r="R349" s="1"/>
  <c r="N355"/>
  <c r="R355" s="1"/>
  <c r="N39"/>
  <c r="N43"/>
  <c r="N46"/>
  <c r="S46" s="1"/>
  <c r="N52"/>
  <c r="N58"/>
  <c r="N62"/>
  <c r="N68"/>
  <c r="N81"/>
  <c r="N85"/>
  <c r="N91"/>
  <c r="N95"/>
  <c r="S95" s="1"/>
  <c r="N104"/>
  <c r="N110"/>
  <c r="N114"/>
  <c r="S114" s="1"/>
  <c r="N118"/>
  <c r="N122"/>
  <c r="N136"/>
  <c r="R136" s="1"/>
  <c r="N140"/>
  <c r="R140" s="1"/>
  <c r="N149"/>
  <c r="R149" s="1"/>
  <c r="N164"/>
  <c r="R164" s="1"/>
  <c r="N168"/>
  <c r="R168" s="1"/>
  <c r="N195"/>
  <c r="R195" s="1"/>
  <c r="N226"/>
  <c r="R226" s="1"/>
  <c r="N231"/>
  <c r="R231" s="1"/>
  <c r="N258"/>
  <c r="R258" s="1"/>
  <c r="N262"/>
  <c r="R262" s="1"/>
  <c r="N271"/>
  <c r="R271" s="1"/>
  <c r="N301"/>
  <c r="R301" s="1"/>
  <c r="R302" s="1"/>
  <c r="N314"/>
  <c r="N328"/>
  <c r="R328" s="1"/>
  <c r="N335"/>
  <c r="R335" s="1"/>
  <c r="N348"/>
  <c r="N354"/>
  <c r="R354" s="1"/>
  <c r="N71"/>
  <c r="S71" s="1"/>
  <c r="N37"/>
  <c r="E217" i="5"/>
  <c r="N146" i="7"/>
  <c r="R146" s="1"/>
  <c r="N270"/>
  <c r="R270" s="1"/>
  <c r="N334"/>
  <c r="R334" s="1"/>
  <c r="N48"/>
  <c r="N172"/>
  <c r="R172" s="1"/>
  <c r="N272"/>
  <c r="R272" s="1"/>
  <c r="N346"/>
  <c r="R346" s="1"/>
  <c r="N351"/>
  <c r="R351" s="1"/>
  <c r="N356"/>
  <c r="R356" s="1"/>
  <c r="N108"/>
  <c r="N230"/>
  <c r="R230" s="1"/>
  <c r="S16"/>
  <c r="N38"/>
  <c r="N44"/>
  <c r="N51"/>
  <c r="N59"/>
  <c r="N67"/>
  <c r="N78"/>
  <c r="N82"/>
  <c r="N88"/>
  <c r="N94"/>
  <c r="N107"/>
  <c r="N111"/>
  <c r="N115"/>
  <c r="N121"/>
  <c r="N141"/>
  <c r="R141" s="1"/>
  <c r="N150"/>
  <c r="R150" s="1"/>
  <c r="N159"/>
  <c r="R159" s="1"/>
  <c r="N167"/>
  <c r="R167" s="1"/>
  <c r="N198"/>
  <c r="R198" s="1"/>
  <c r="N227"/>
  <c r="R227" s="1"/>
  <c r="N232"/>
  <c r="R232" s="1"/>
  <c r="N248"/>
  <c r="S248" s="1"/>
  <c r="N261"/>
  <c r="R261" s="1"/>
  <c r="N267"/>
  <c r="R267" s="1"/>
  <c r="N276"/>
  <c r="R276" s="1"/>
  <c r="N329"/>
  <c r="R329" s="1"/>
  <c r="N345"/>
  <c r="R345" s="1"/>
  <c r="N353"/>
  <c r="R353" s="1"/>
  <c r="N35"/>
  <c r="N41"/>
  <c r="N45"/>
  <c r="N50"/>
  <c r="N60"/>
  <c r="N64"/>
  <c r="N79"/>
  <c r="N83"/>
  <c r="N87"/>
  <c r="N93"/>
  <c r="N102"/>
  <c r="N106"/>
  <c r="N112"/>
  <c r="N116"/>
  <c r="S116" s="1"/>
  <c r="N120"/>
  <c r="S120" s="1"/>
  <c r="N135"/>
  <c r="N138"/>
  <c r="R138" s="1"/>
  <c r="N147"/>
  <c r="N151"/>
  <c r="R151" s="1"/>
  <c r="N166"/>
  <c r="N193"/>
  <c r="R193" s="1"/>
  <c r="N197"/>
  <c r="R197" s="1"/>
  <c r="N212"/>
  <c r="R212" s="1"/>
  <c r="N228"/>
  <c r="N233"/>
  <c r="R233" s="1"/>
  <c r="N260"/>
  <c r="N266"/>
  <c r="S266" s="1"/>
  <c r="N277"/>
  <c r="R277" s="1"/>
  <c r="N305"/>
  <c r="R305" s="1"/>
  <c r="N325"/>
  <c r="R325" s="1"/>
  <c r="N330"/>
  <c r="R330" s="1"/>
  <c r="N344"/>
  <c r="R344" s="1"/>
  <c r="N352"/>
  <c r="R352" s="1"/>
  <c r="E302" i="5"/>
  <c r="E316"/>
  <c r="N19" i="7"/>
  <c r="N25"/>
  <c r="N32"/>
  <c r="N17"/>
  <c r="S17" s="1"/>
  <c r="N22"/>
  <c r="N31"/>
  <c r="S31" s="1"/>
  <c r="E213" i="5"/>
  <c r="N211" i="7"/>
  <c r="N27"/>
  <c r="N18"/>
  <c r="N23"/>
  <c r="N20"/>
  <c r="S20" s="1"/>
  <c r="N28"/>
  <c r="S28" s="1"/>
  <c r="N33"/>
  <c r="N29"/>
  <c r="N339"/>
  <c r="R339" s="1"/>
  <c r="R341" s="1"/>
  <c r="N247"/>
  <c r="E249" i="5"/>
  <c r="E37"/>
  <c r="N34" i="7" s="1"/>
  <c r="S267"/>
  <c r="E278" i="5"/>
  <c r="R239" i="7"/>
  <c r="E330" i="5"/>
  <c r="N280" i="7"/>
  <c r="N54"/>
  <c r="S54" s="1"/>
  <c r="N239"/>
  <c r="S239" s="1"/>
  <c r="S237"/>
  <c r="E268" i="5"/>
  <c r="S347" i="7"/>
  <c r="S292"/>
  <c r="M42" i="6"/>
  <c r="N42" s="1"/>
  <c r="N322" i="7"/>
  <c r="S322" s="1"/>
  <c r="N298"/>
  <c r="S297"/>
  <c r="S145"/>
  <c r="E296" i="5"/>
  <c r="E207"/>
  <c r="N158" i="7"/>
  <c r="R158" s="1"/>
  <c r="E160" i="5"/>
  <c r="N171" i="7"/>
  <c r="E173" i="5"/>
  <c r="N163" i="7"/>
  <c r="E165" i="5"/>
  <c r="N134" i="7"/>
  <c r="R134" s="1"/>
  <c r="N191"/>
  <c r="E186" i="5"/>
  <c r="R26" i="7"/>
  <c r="E24" i="5"/>
  <c r="R139" i="7"/>
  <c r="S294"/>
  <c r="E326" i="5"/>
  <c r="E336"/>
  <c r="N295" i="7"/>
  <c r="E246" i="5"/>
  <c r="N244" i="7"/>
  <c r="E272" i="5"/>
  <c r="E243"/>
  <c r="N241" i="7"/>
  <c r="E220" i="5"/>
  <c r="N218" i="7"/>
  <c r="N255"/>
  <c r="N201"/>
  <c r="R201" s="1"/>
  <c r="N251"/>
  <c r="E253" i="5"/>
  <c r="N287" i="7"/>
  <c r="E289" i="5"/>
  <c r="E306"/>
  <c r="N304" i="7"/>
  <c r="E320" i="5"/>
  <c r="N318" i="7"/>
  <c r="N181"/>
  <c r="E223" i="5"/>
  <c r="N221" i="7"/>
  <c r="N215"/>
  <c r="E226" i="5"/>
  <c r="N224" i="7"/>
  <c r="E78" i="5"/>
  <c r="S350" i="7" l="1"/>
  <c r="S231"/>
  <c r="S336"/>
  <c r="S141"/>
  <c r="N206"/>
  <c r="R161"/>
  <c r="S159"/>
  <c r="S272"/>
  <c r="S351"/>
  <c r="S343"/>
  <c r="S164"/>
  <c r="S146"/>
  <c r="S349"/>
  <c r="S152"/>
  <c r="S252"/>
  <c r="S196"/>
  <c r="N249"/>
  <c r="M40" i="6"/>
  <c r="N40" s="1"/>
  <c r="R33" i="7"/>
  <c r="S33"/>
  <c r="R18"/>
  <c r="S18"/>
  <c r="R22"/>
  <c r="S22"/>
  <c r="R32"/>
  <c r="S32"/>
  <c r="R19"/>
  <c r="S19"/>
  <c r="R106"/>
  <c r="S106"/>
  <c r="R93"/>
  <c r="S93"/>
  <c r="R83"/>
  <c r="S83"/>
  <c r="R64"/>
  <c r="S64"/>
  <c r="R50"/>
  <c r="S50"/>
  <c r="R41"/>
  <c r="S41"/>
  <c r="R115"/>
  <c r="S115"/>
  <c r="R107"/>
  <c r="S107"/>
  <c r="R88"/>
  <c r="S88"/>
  <c r="R78"/>
  <c r="S78"/>
  <c r="R59"/>
  <c r="S59"/>
  <c r="R44"/>
  <c r="S44"/>
  <c r="R108"/>
  <c r="S108"/>
  <c r="R48"/>
  <c r="S48"/>
  <c r="R37"/>
  <c r="S37"/>
  <c r="R122"/>
  <c r="S122"/>
  <c r="R104"/>
  <c r="S104"/>
  <c r="R91"/>
  <c r="S91"/>
  <c r="R81"/>
  <c r="S81"/>
  <c r="R62"/>
  <c r="S62"/>
  <c r="R52"/>
  <c r="S52"/>
  <c r="R43"/>
  <c r="S43"/>
  <c r="R117"/>
  <c r="S117"/>
  <c r="R109"/>
  <c r="S109"/>
  <c r="R92"/>
  <c r="S92"/>
  <c r="R80"/>
  <c r="S80"/>
  <c r="R63"/>
  <c r="S63"/>
  <c r="R49"/>
  <c r="S49"/>
  <c r="R36"/>
  <c r="S36"/>
  <c r="R56"/>
  <c r="S56"/>
  <c r="R47"/>
  <c r="S47"/>
  <c r="R34"/>
  <c r="S34"/>
  <c r="R29"/>
  <c r="S29"/>
  <c r="R23"/>
  <c r="S23"/>
  <c r="R27"/>
  <c r="S27"/>
  <c r="R25"/>
  <c r="S25"/>
  <c r="R112"/>
  <c r="S112"/>
  <c r="R102"/>
  <c r="S102"/>
  <c r="R87"/>
  <c r="S87"/>
  <c r="R79"/>
  <c r="S79"/>
  <c r="R60"/>
  <c r="S60"/>
  <c r="R45"/>
  <c r="S45"/>
  <c r="R35"/>
  <c r="S35"/>
  <c r="R121"/>
  <c r="S121"/>
  <c r="R111"/>
  <c r="S111"/>
  <c r="R94"/>
  <c r="S94"/>
  <c r="R82"/>
  <c r="S82"/>
  <c r="R67"/>
  <c r="S67"/>
  <c r="R51"/>
  <c r="S51"/>
  <c r="R38"/>
  <c r="S38"/>
  <c r="R118"/>
  <c r="S118"/>
  <c r="R110"/>
  <c r="S110"/>
  <c r="R85"/>
  <c r="S85"/>
  <c r="R68"/>
  <c r="S68"/>
  <c r="R58"/>
  <c r="S58"/>
  <c r="R39"/>
  <c r="S39"/>
  <c r="R113"/>
  <c r="S113"/>
  <c r="R103"/>
  <c r="S103"/>
  <c r="R84"/>
  <c r="S84"/>
  <c r="R76"/>
  <c r="S76"/>
  <c r="R53"/>
  <c r="S53"/>
  <c r="R40"/>
  <c r="S40"/>
  <c r="R66"/>
  <c r="S66"/>
  <c r="M47" i="6"/>
  <c r="N47" s="1"/>
  <c r="K14" i="5"/>
  <c r="N281" i="7"/>
  <c r="S281" s="1"/>
  <c r="R280"/>
  <c r="R42"/>
  <c r="R337"/>
  <c r="S324"/>
  <c r="S334"/>
  <c r="N337"/>
  <c r="M53" i="6" s="1"/>
  <c r="N53" s="1"/>
  <c r="S229" i="7"/>
  <c r="S273"/>
  <c r="S197"/>
  <c r="S301"/>
  <c r="S226"/>
  <c r="S148"/>
  <c r="S140"/>
  <c r="S262"/>
  <c r="S355"/>
  <c r="N156"/>
  <c r="S156" s="1"/>
  <c r="S198"/>
  <c r="N316"/>
  <c r="S316" s="1"/>
  <c r="N274"/>
  <c r="M37" i="6" s="1"/>
  <c r="N37" s="1"/>
  <c r="S346" i="7"/>
  <c r="S261"/>
  <c r="S356"/>
  <c r="S354"/>
  <c r="S137"/>
  <c r="S172"/>
  <c r="S335"/>
  <c r="S205"/>
  <c r="R274"/>
  <c r="S270"/>
  <c r="S225"/>
  <c r="S339"/>
  <c r="S271"/>
  <c r="R266"/>
  <c r="R268" s="1"/>
  <c r="S258"/>
  <c r="S232"/>
  <c r="S150"/>
  <c r="S136"/>
  <c r="N169"/>
  <c r="M16" i="6" s="1"/>
  <c r="N16" s="1"/>
  <c r="R16" i="7"/>
  <c r="S233"/>
  <c r="S345"/>
  <c r="S193"/>
  <c r="S167"/>
  <c r="S276"/>
  <c r="S195"/>
  <c r="S165"/>
  <c r="R326"/>
  <c r="S230"/>
  <c r="S227"/>
  <c r="S353"/>
  <c r="S168"/>
  <c r="S149"/>
  <c r="N332"/>
  <c r="M52" i="6" s="1"/>
  <c r="N52" s="1"/>
  <c r="N268" i="7"/>
  <c r="M36" i="6" s="1"/>
  <c r="N36" s="1"/>
  <c r="N264" i="7"/>
  <c r="M35" i="6" s="1"/>
  <c r="N35" s="1"/>
  <c r="S263" i="7"/>
  <c r="R71"/>
  <c r="S344"/>
  <c r="N278"/>
  <c r="S314"/>
  <c r="R314"/>
  <c r="N209"/>
  <c r="R208"/>
  <c r="R209" s="1"/>
  <c r="S280"/>
  <c r="R281"/>
  <c r="S315"/>
  <c r="R315"/>
  <c r="N326"/>
  <c r="M51" i="6" s="1"/>
  <c r="N51" s="1"/>
  <c r="N357" i="7"/>
  <c r="S357" s="1"/>
  <c r="S277"/>
  <c r="R332"/>
  <c r="S325"/>
  <c r="S352"/>
  <c r="S305"/>
  <c r="S151"/>
  <c r="S212"/>
  <c r="S138"/>
  <c r="R348"/>
  <c r="S348"/>
  <c r="N302"/>
  <c r="M45" i="6" s="1"/>
  <c r="N45" s="1"/>
  <c r="R114" i="7"/>
  <c r="R95"/>
  <c r="R46"/>
  <c r="R260"/>
  <c r="R264" s="1"/>
  <c r="S260"/>
  <c r="R228"/>
  <c r="S228"/>
  <c r="R166"/>
  <c r="S166"/>
  <c r="R147"/>
  <c r="R156" s="1"/>
  <c r="S147"/>
  <c r="R135"/>
  <c r="S135"/>
  <c r="R120"/>
  <c r="R116"/>
  <c r="R278"/>
  <c r="N341"/>
  <c r="S247"/>
  <c r="R20"/>
  <c r="R28"/>
  <c r="M29" i="6"/>
  <c r="N29" s="1"/>
  <c r="R31" i="7"/>
  <c r="R17"/>
  <c r="N21"/>
  <c r="R211"/>
  <c r="R213" s="1"/>
  <c r="N213"/>
  <c r="S211"/>
  <c r="M22" i="6"/>
  <c r="N22" s="1"/>
  <c r="S206" i="7"/>
  <c r="M14" i="6"/>
  <c r="N14" s="1"/>
  <c r="N75" i="7"/>
  <c r="S75" s="1"/>
  <c r="R171"/>
  <c r="R173" s="1"/>
  <c r="S171"/>
  <c r="R248"/>
  <c r="R247"/>
  <c r="R54"/>
  <c r="S326"/>
  <c r="S298"/>
  <c r="M44" i="6"/>
  <c r="N44" s="1"/>
  <c r="S295" i="7"/>
  <c r="M43" i="6"/>
  <c r="N43" s="1"/>
  <c r="M50"/>
  <c r="N50" s="1"/>
  <c r="S134" i="7"/>
  <c r="L16" i="5"/>
  <c r="N173" i="7"/>
  <c r="S173" s="1"/>
  <c r="N161"/>
  <c r="S158"/>
  <c r="N133"/>
  <c r="R241"/>
  <c r="R242" s="1"/>
  <c r="S241"/>
  <c r="N242"/>
  <c r="R244"/>
  <c r="R245" s="1"/>
  <c r="N245"/>
  <c r="S244"/>
  <c r="R287"/>
  <c r="R288" s="1"/>
  <c r="N288"/>
  <c r="S287"/>
  <c r="R251"/>
  <c r="R253" s="1"/>
  <c r="N253"/>
  <c r="S251"/>
  <c r="R318"/>
  <c r="R319" s="1"/>
  <c r="N319"/>
  <c r="S318"/>
  <c r="R304"/>
  <c r="R306" s="1"/>
  <c r="S304"/>
  <c r="N306"/>
  <c r="R203"/>
  <c r="S201"/>
  <c r="N203"/>
  <c r="R177"/>
  <c r="R179" s="1"/>
  <c r="N179"/>
  <c r="S177"/>
  <c r="N256"/>
  <c r="R255"/>
  <c r="R256" s="1"/>
  <c r="S255"/>
  <c r="R218"/>
  <c r="R219" s="1"/>
  <c r="N219"/>
  <c r="S218"/>
  <c r="R224"/>
  <c r="N235"/>
  <c r="S224"/>
  <c r="R215"/>
  <c r="R216" s="1"/>
  <c r="S215"/>
  <c r="N216"/>
  <c r="R184"/>
  <c r="S184"/>
  <c r="N199"/>
  <c r="R192"/>
  <c r="S192"/>
  <c r="R163"/>
  <c r="S163"/>
  <c r="R221"/>
  <c r="R222" s="1"/>
  <c r="N222"/>
  <c r="S221"/>
  <c r="R181"/>
  <c r="R182" s="1"/>
  <c r="N182"/>
  <c r="S181"/>
  <c r="S302" l="1"/>
  <c r="N143"/>
  <c r="M13" i="6" s="1"/>
  <c r="N13" s="1"/>
  <c r="S133" i="7"/>
  <c r="R21"/>
  <c r="S21"/>
  <c r="R357"/>
  <c r="S332"/>
  <c r="M39" i="6"/>
  <c r="N39" s="1"/>
  <c r="S337" i="7"/>
  <c r="M48" i="6"/>
  <c r="N48" s="1"/>
  <c r="S169" i="7"/>
  <c r="S274"/>
  <c r="M55" i="6"/>
  <c r="N55" s="1"/>
  <c r="S264" i="7"/>
  <c r="R75"/>
  <c r="S268"/>
  <c r="M38" i="6"/>
  <c r="N38" s="1"/>
  <c r="S278" i="7"/>
  <c r="S209"/>
  <c r="M23" i="6"/>
  <c r="N23" s="1"/>
  <c r="R316" i="7"/>
  <c r="R235"/>
  <c r="R169"/>
  <c r="M54" i="6"/>
  <c r="N54" s="1"/>
  <c r="S341" i="7"/>
  <c r="M24" i="6"/>
  <c r="N24" s="1"/>
  <c r="S213" i="7"/>
  <c r="R249"/>
  <c r="S249"/>
  <c r="M32" i="6"/>
  <c r="N32" s="1"/>
  <c r="S182" i="7"/>
  <c r="M19" i="6"/>
  <c r="N19" s="1"/>
  <c r="S199" i="7"/>
  <c r="M20" i="6"/>
  <c r="N20" s="1"/>
  <c r="S222" i="7"/>
  <c r="M27" i="6"/>
  <c r="N27" s="1"/>
  <c r="S216" i="7"/>
  <c r="M25" i="6"/>
  <c r="N25" s="1"/>
  <c r="S235" i="7"/>
  <c r="M28" i="6"/>
  <c r="N28" s="1"/>
  <c r="S306" i="7"/>
  <c r="M46" i="6"/>
  <c r="N46" s="1"/>
  <c r="S319" i="7"/>
  <c r="M49" i="6"/>
  <c r="N49" s="1"/>
  <c r="S288" i="7"/>
  <c r="M41" i="6"/>
  <c r="N41" s="1"/>
  <c r="M17"/>
  <c r="N17" s="1"/>
  <c r="S219" i="7"/>
  <c r="M26" i="6"/>
  <c r="N26" s="1"/>
  <c r="S256" i="7"/>
  <c r="M34" i="6"/>
  <c r="N34" s="1"/>
  <c r="S179" i="7"/>
  <c r="M18" i="6"/>
  <c r="N18" s="1"/>
  <c r="S203" i="7"/>
  <c r="M21" i="6"/>
  <c r="N21" s="1"/>
  <c r="S253" i="7"/>
  <c r="M33" i="6"/>
  <c r="N33" s="1"/>
  <c r="S245" i="7"/>
  <c r="M31" i="6"/>
  <c r="N31" s="1"/>
  <c r="S242" i="7"/>
  <c r="M30" i="6"/>
  <c r="N30" s="1"/>
  <c r="S161" i="7"/>
  <c r="M15" i="6"/>
  <c r="N15" s="1"/>
  <c r="R133" i="7"/>
  <c r="R143" s="1"/>
  <c r="R191"/>
  <c r="R199" s="1"/>
  <c r="S191"/>
  <c r="S143" l="1"/>
  <c r="AM16" i="10" l="1"/>
  <c r="AJ138" l="1"/>
  <c r="AK138" l="1"/>
  <c r="G138" l="1"/>
  <c r="AK294"/>
  <c r="AJ294"/>
  <c r="E138" l="1"/>
  <c r="L136" i="9"/>
  <c r="P136" s="1"/>
  <c r="AJ283" i="10"/>
  <c r="X294"/>
  <c r="AK283"/>
  <c r="X283"/>
  <c r="AJ553"/>
  <c r="AK553"/>
  <c r="AJ552"/>
  <c r="AK552"/>
  <c r="X552"/>
  <c r="X553"/>
  <c r="AK554" l="1"/>
  <c r="AJ554"/>
  <c r="X14"/>
  <c r="X554"/>
  <c r="X359" s="1"/>
  <c r="AK143"/>
  <c r="AJ143"/>
  <c r="AK161" l="1"/>
  <c r="AK359"/>
  <c r="AJ359"/>
  <c r="AJ161"/>
  <c r="X12"/>
  <c r="G143"/>
  <c r="AK14" l="1"/>
  <c r="AK12" s="1"/>
  <c r="AJ14"/>
  <c r="AJ12" s="1"/>
  <c r="G161"/>
  <c r="G14" s="1"/>
  <c r="L141" i="9"/>
  <c r="E143" i="10"/>
  <c r="G12" l="1"/>
  <c r="P141" i="9"/>
  <c r="F16" i="5" l="1"/>
  <c r="E104"/>
  <c r="E18" s="1"/>
  <c r="E16" l="1"/>
  <c r="E14" s="1"/>
  <c r="N101" i="7"/>
  <c r="R101" s="1"/>
  <c r="N131" l="1"/>
  <c r="S131" s="1"/>
  <c r="S101"/>
  <c r="R131"/>
  <c r="R14" s="1"/>
  <c r="N14" l="1"/>
  <c r="M12" i="6"/>
  <c r="M11" s="1"/>
  <c r="N12" l="1"/>
  <c r="N11" s="1"/>
  <c r="E119" i="10"/>
  <c r="AM119"/>
  <c r="L117" i="9"/>
  <c r="P117" s="1"/>
  <c r="AM57" i="10"/>
  <c r="E57"/>
  <c r="L55" i="9"/>
  <c r="E83" i="10"/>
  <c r="P55" i="9" l="1"/>
  <c r="L81"/>
  <c r="L159" s="1"/>
  <c r="L12" s="1"/>
  <c r="AM83" i="10"/>
  <c r="P81" i="9" l="1"/>
  <c r="P159" s="1"/>
  <c r="P12" l="1"/>
  <c r="P10" s="1"/>
  <c r="R12" i="7" s="1"/>
  <c r="L10" i="9"/>
  <c r="N12" i="7" s="1"/>
  <c r="F10" i="11"/>
  <c r="N10" i="6" s="1"/>
  <c r="S11" l="1"/>
</calcChain>
</file>

<file path=xl/sharedStrings.xml><?xml version="1.0" encoding="utf-8"?>
<sst xmlns="http://schemas.openxmlformats.org/spreadsheetml/2006/main" count="7310" uniqueCount="1174">
  <si>
    <t>1970</t>
  </si>
  <si>
    <t>пгт Погар, ул Квартал 1, д.9</t>
  </si>
  <si>
    <t>Муниципальное образование  "Погарский муниципальный район"</t>
  </si>
  <si>
    <t>п. Чайкино, ул Погарская, д. 3</t>
  </si>
  <si>
    <t>с. Кистер, ул Центральная, д. 6</t>
  </si>
  <si>
    <t>Итого по муниципальному образованию "Погарский муниципальный район"</t>
  </si>
  <si>
    <t>г. Брянск, ул.Молодой Гвардии, д.62</t>
  </si>
  <si>
    <t>г. Брянск,  пер. Кирова д. 99</t>
  </si>
  <si>
    <t>Муниципальное образование  "Почепский муниципальный район"</t>
  </si>
  <si>
    <t>Итого по муниципальному образованию "Почепский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</si>
  <si>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</si>
  <si>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</si>
  <si>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с.Баклань, пр-т Ленина д.3</t>
  </si>
  <si>
    <t>п.Озаренный, ул.Центральная д.8</t>
  </si>
  <si>
    <t>г.Почеп, ул.Стародубская д.12</t>
  </si>
  <si>
    <t>г.Почеп, ул.Октябрьская д.6</t>
  </si>
  <si>
    <t>г.Почеп, ул.Стародубская д.16</t>
  </si>
  <si>
    <t>г.Почеп, ул Стародубская д.40</t>
  </si>
  <si>
    <t>г. Севск, ул К. Либкнехта, д.62</t>
  </si>
  <si>
    <t>г. Севск, ул Энгельса д. 53</t>
  </si>
  <si>
    <t>Итого по муниципальному образованию "Севское городское поселение" Севского муниципального района</t>
  </si>
  <si>
    <t>Севский район, п. Косицы, ул. Мира, д. 5</t>
  </si>
  <si>
    <t xml:space="preserve">г. Севск, ул К. Либкнехта, 62 </t>
  </si>
  <si>
    <t>г. Севск, ул Энгельса, 53</t>
  </si>
  <si>
    <t>Севский район, п. Косицы, ул. Мира, 5</t>
  </si>
  <si>
    <t>с. Меленск, ул. Комсомольская, д. 10</t>
  </si>
  <si>
    <t>п. Суземка, ул. Вокзальная, д.24</t>
  </si>
  <si>
    <t>п. Суземка, ул. Первомайская, д.7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</si>
  <si>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</si>
  <si>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</si>
  <si>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</si>
  <si>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</si>
  <si>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</si>
  <si>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</si>
  <si>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</si>
  <si>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</si>
  <si>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г. Трубчевск, ул.Фрунзе,д.1</t>
  </si>
  <si>
    <t>г. Трубчевск, ул Урицкого, д.63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</si>
  <si>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</si>
  <si>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</si>
  <si>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пгт Белая Березка, ул Калинина, д. 6</t>
  </si>
  <si>
    <t>пгт Белая Березка, ул Партизанская, д. 6</t>
  </si>
  <si>
    <t>пгт Белая Березка, ул Партизанская, д .6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</si>
  <si>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</si>
  <si>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</si>
  <si>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г. Унеча, ул. 23 Сентября, д. 6</t>
  </si>
  <si>
    <t>г. Унеча, ул. Коммунистическая, д. 6</t>
  </si>
  <si>
    <t>г. Унеча, ул. Комсомольская, д. 16</t>
  </si>
  <si>
    <t>г. Унеча, ул. Ленина, д. 15</t>
  </si>
  <si>
    <t>г. Унеча, ул. Луначарского, д. 42</t>
  </si>
  <si>
    <t>г. Унеча, ул. Нахимова, д. 6а</t>
  </si>
  <si>
    <t>г. Унеча, ул. Первомайская, д. 6</t>
  </si>
  <si>
    <t>г. Унеча, ул. Пролетарская, д. 1</t>
  </si>
  <si>
    <t>г. Унеча, ул. Пролетарская, д. 3</t>
  </si>
  <si>
    <t>г. Унеча, ул. Пролетарская, д. 7</t>
  </si>
  <si>
    <t>г. Унеча, ул. Луначарского, д. 31</t>
  </si>
  <si>
    <t>г. Унеча, ул. Горького, д. 8а</t>
  </si>
  <si>
    <t>г. Унеча, ул. Крупской, д. 34а</t>
  </si>
  <si>
    <t>г. Унеча, ул. Ленина, д. 5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</si>
  <si>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</si>
  <si>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</si>
  <si>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</si>
  <si>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</si>
  <si>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</si>
  <si>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</si>
  <si>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</si>
  <si>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</si>
  <si>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</si>
  <si>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</si>
  <si>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</si>
  <si>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</si>
  <si>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</si>
  <si>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</si>
  <si>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</si>
  <si>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</si>
  <si>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</si>
  <si>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</si>
  <si>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</si>
  <si>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</si>
  <si>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</si>
  <si>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</si>
  <si>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</si>
  <si>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</si>
  <si>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</si>
  <si>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</si>
  <si>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</si>
  <si>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</si>
  <si>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</si>
  <si>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1956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</si>
  <si>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</si>
  <si>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</si>
  <si>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</si>
  <si>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</si>
  <si>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</si>
  <si>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</si>
  <si>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</si>
  <si>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</si>
  <si>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</si>
  <si>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</si>
  <si>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</si>
  <si>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</si>
  <si>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</si>
  <si>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</si>
  <si>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</si>
  <si>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</si>
  <si>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</si>
  <si>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</si>
  <si>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Итого по муниципальному образованию "Городской округ "город Брянск"</t>
  </si>
  <si>
    <t>плоская</t>
  </si>
  <si>
    <t>скатная</t>
  </si>
  <si>
    <t>г. Брянск, ул. 22 Съезда КПСС д. 33</t>
  </si>
  <si>
    <t>г. Брянск, пр-д 2-ой  Карьерный  д. 21а</t>
  </si>
  <si>
    <t>г. Брянск, ул. 3 Интернационала д. 2</t>
  </si>
  <si>
    <t>г. Брянск, ул. Бузинова д. 4</t>
  </si>
  <si>
    <t>г. Брянск, ул. Вокзальная д. 8</t>
  </si>
  <si>
    <t>г. Брянск, пер. Гончарова  д. 74</t>
  </si>
  <si>
    <t>г. Брянск, ул. Донбасская д. 20</t>
  </si>
  <si>
    <t>г. Брянск, ул. Донбасская д. 22</t>
  </si>
  <si>
    <t>г. Брянск, пер. Камвольный  д. 2а</t>
  </si>
  <si>
    <t>г. Брянск, ул. Камозина д. 18</t>
  </si>
  <si>
    <t>г. Брянск, ул. Куйбышева д. 102а</t>
  </si>
  <si>
    <t>г. Брянск, ул. Литейная д. 23</t>
  </si>
  <si>
    <t>г. Брянск, ул. Литейная д. 27</t>
  </si>
  <si>
    <t>г. Брянск, ул. Литейная д. 66/87</t>
  </si>
  <si>
    <t>г. Брянск, ул. Молодой Гвардии д. 41а</t>
  </si>
  <si>
    <t>г. Брянск, ул. Молодой Гвардии д. 8</t>
  </si>
  <si>
    <t>г. Брянск, ул. Молодой Гвардии д. 10</t>
  </si>
  <si>
    <t>г. Брянск, ул. Молодой Гвардии д. 14</t>
  </si>
  <si>
    <t>г. Брянск, мкр. Московский  д. 47</t>
  </si>
  <si>
    <t>г. Брянск, ул. Ново-Советская д. 57</t>
  </si>
  <si>
    <t>г. Брянск, ул. Ново-Советская д. 59</t>
  </si>
  <si>
    <t>г. Брянск, ул. Ново-Советская д. 89</t>
  </si>
  <si>
    <t>г. Брянск, ул. Ново-Советская д. 95</t>
  </si>
  <si>
    <t>г. Брянск, ул. Ново-Советская д. 134</t>
  </si>
  <si>
    <t>г. Брянск, ул. Почтовая д. 46а</t>
  </si>
  <si>
    <t>г. Брянск, ул. Почтовая, 67</t>
  </si>
  <si>
    <t>г. Брянск, пер. Почтовый  д. 79</t>
  </si>
  <si>
    <t>г. Брянск, ул. Сталелитейная д. 6</t>
  </si>
  <si>
    <t>г. Брянск, ул. Ульянова д. 13а</t>
  </si>
  <si>
    <t>г. Брянск, ул.Ульянова д. 47</t>
  </si>
  <si>
    <t>г. Брянск, ул. Шоссейная д.  63</t>
  </si>
  <si>
    <t>г. Брянск, пр. Московский, д. 132</t>
  </si>
  <si>
    <t>г. Брянск, пр. Московский, д. 134</t>
  </si>
  <si>
    <t>г. Брянск, пр. Московский, д. 23</t>
  </si>
  <si>
    <t>г. Брянск, пр. Московский, д. 81, кор. 3</t>
  </si>
  <si>
    <t>г. Брянск, пр. Московский, д. 82</t>
  </si>
  <si>
    <t>г. Брянск, пр. Московский, д.10/4</t>
  </si>
  <si>
    <t>г. Брянск, ул. 2-ая Аллея, д. 1</t>
  </si>
  <si>
    <t>г. Брянск, ул. Киевская, д. 63</t>
  </si>
  <si>
    <t>Г. Брянск, ул. Котовского, д. 8</t>
  </si>
  <si>
    <t>г. Брянск, ул. Полесская, д. 2</t>
  </si>
  <si>
    <t>г. Брянск, ул. Транспортная, д. 4</t>
  </si>
  <si>
    <t>г. Брянск, ул. Чапаева, д. 4</t>
  </si>
  <si>
    <t>г. Брянск, ул. Челюскинцев, д. 4</t>
  </si>
  <si>
    <t>г. Брянск, ул. 2-я Мичурина д. 25</t>
  </si>
  <si>
    <t>г. Брянск, ул. Димитрова д. 68</t>
  </si>
  <si>
    <t>г. Брянск, ул. Димитрова д. 112</t>
  </si>
  <si>
    <t>г. Брянск, ул. Достоевского д. 4</t>
  </si>
  <si>
    <t>г. Брянск, ул. Клары Цеткин д. 27а</t>
  </si>
  <si>
    <t>г. Брянск, ул. Клары Цеткин д. 29</t>
  </si>
  <si>
    <t>г. Брянск, ул. Кольцова д. 2</t>
  </si>
  <si>
    <t>г. Брянск, ул. Никитина д. 3</t>
  </si>
  <si>
    <t>г. Брянск, ул. Профсоюзов д. 22а</t>
  </si>
  <si>
    <t>г. Брянск, ул. Пушкина д. 42</t>
  </si>
  <si>
    <t>г. Брянск, ул. Пушкина д. 76</t>
  </si>
  <si>
    <t>г. Брянск, ул. Рылеева д. 13</t>
  </si>
  <si>
    <t>г. Брянск, ул. Тельмана д. 66/3 (кв. 1-107)</t>
  </si>
  <si>
    <t>г. Брянск, ул. Тельмана д. 111</t>
  </si>
  <si>
    <t>г. Брянск, ул. Тельмана д. 113</t>
  </si>
  <si>
    <t>г. Брянск,ул. Чернышевского д. 17</t>
  </si>
  <si>
    <t>г. Брянск,ул. Энгельса д. 6а</t>
  </si>
  <si>
    <t>г. Брянск, 1-й пр-д Ст. Димитрова д. 7</t>
  </si>
  <si>
    <t>г. Брянск, пер. 2-й Красноармейский д. 27</t>
  </si>
  <si>
    <t>г. Брянск, ул. 2-я Почепская д. 38</t>
  </si>
  <si>
    <t>г. Брянск, ул. 3-го июля д. 1</t>
  </si>
  <si>
    <t>г. Брянск, ул. 8-го Марта д. 1</t>
  </si>
  <si>
    <t>г. Брянск, пер. Авиационный  д. 2/1</t>
  </si>
  <si>
    <t>г. Брянск, ул. Вали Сафроновой д. 73</t>
  </si>
  <si>
    <t>г. Брянск, ул. Докучаева д. 19</t>
  </si>
  <si>
    <t>г. Брянск, ул. Емлютина д. 42</t>
  </si>
  <si>
    <t>г. Брянск, ул. Костычева д. 19а</t>
  </si>
  <si>
    <t>г. Брянск, ул. Красноармейская д. 160</t>
  </si>
  <si>
    <t>г. Брянск, ул. Красноармейская д. 166</t>
  </si>
  <si>
    <t>г. Брянск, ул. Крахмалева д. 6</t>
  </si>
  <si>
    <t>г. Брянск, ул. Крахмалева д. 6а</t>
  </si>
  <si>
    <t>г. Брянск, пр-т  Ленина д. 24</t>
  </si>
  <si>
    <t>г. Брянск, пр-т  Ленина д. 57</t>
  </si>
  <si>
    <t>г. Брянск, ул.Луначарского д. 47</t>
  </si>
  <si>
    <t>г. Брянск, ул.Любезного д. 4</t>
  </si>
  <si>
    <t>г. Брянск, ул. Мало-Завальская д. 1</t>
  </si>
  <si>
    <t>г. Брянск, ул. Матвеева д. 6</t>
  </si>
  <si>
    <t>г. Брянск, ул. Октябрьская д. 53</t>
  </si>
  <si>
    <t>г. Брянск, ул. Октябрьская д. 137</t>
  </si>
  <si>
    <t>г. Брянск, пер. Осоавиахима д. 5</t>
  </si>
  <si>
    <t>г. Брянск, ул. Советская д. 50</t>
  </si>
  <si>
    <t>г. Брянск, ул. Советская д. 50а</t>
  </si>
  <si>
    <t>г. Брянск, пр-т Станке Димитрова д. 25</t>
  </si>
  <si>
    <t>г. Брянск, пр-т Станке Димитрова д.  33</t>
  </si>
  <si>
    <t>г. Брянск, пр-т Станке Димитрова д.  57</t>
  </si>
  <si>
    <t>г. Брянск, ул. Урицкого д. 29</t>
  </si>
  <si>
    <t>г. Брянск, ул. Урицкого д. 31</t>
  </si>
  <si>
    <t>г. Брянск, ул. Фокина д. 1</t>
  </si>
  <si>
    <t>г. Брянск, ул. Фокина д. 141</t>
  </si>
  <si>
    <t>г. Брянск,  пер. Фокина д. 10</t>
  </si>
  <si>
    <t>пенельные</t>
  </si>
  <si>
    <t>деревянные</t>
  </si>
  <si>
    <t>шлакобетонные</t>
  </si>
  <si>
    <t>шлако-блочные</t>
  </si>
  <si>
    <t>крупнопанельные</t>
  </si>
  <si>
    <t>г. Брянск, Новозыбковская, д. 17а</t>
  </si>
  <si>
    <t>г. Брянск, рп. Белые Берега, ул. Коминтерна, д. 11</t>
  </si>
  <si>
    <t>г. Брянск, рп. Белые Берега, ул. Коминтерна, д. 24</t>
  </si>
  <si>
    <t>г. Брянск, рп. Белые Берега, ул. Ленина, д. 10</t>
  </si>
  <si>
    <t>г. Брянск, рп. Белые Берега, ул. Пролетарская, д. 6</t>
  </si>
  <si>
    <t>Плоская</t>
  </si>
  <si>
    <t>Муниципальное образование "город Брянск"</t>
  </si>
  <si>
    <t>г. Брянск, пр-кт Ленина, д.6а</t>
  </si>
  <si>
    <t>1958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</si>
  <si>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</si>
  <si>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</si>
  <si>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</si>
  <si>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</si>
  <si>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</si>
  <si>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</si>
  <si>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</si>
  <si>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</si>
  <si>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</si>
  <si>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</si>
  <si>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Итого по муниципальному образованию  "Городской округ "город Новозыбков"</t>
  </si>
  <si>
    <t>Муниципальное образование "Городской округ "город Новозыбков"</t>
  </si>
  <si>
    <t>г.Новозыбков,ул.Интернациональная, д.70</t>
  </si>
  <si>
    <t>г.Новозыбков,ул.Коммунистическая, д.100А</t>
  </si>
  <si>
    <t>г.Новозыбков,пл.Красная, д.7</t>
  </si>
  <si>
    <t>г.Новозыбков,ул.Пролетарская, д.17А</t>
  </si>
  <si>
    <t>г.Новозыбков,ул.РОС, д.23</t>
  </si>
  <si>
    <t>г.Новозыбков,санаторий Карховка, д.1</t>
  </si>
  <si>
    <t>Итого по муниципальному образованию                                                                        " Городской округ "город Новозыбков"</t>
  </si>
  <si>
    <t>г.Новозыбков,ул.Наримановская, д.22</t>
  </si>
  <si>
    <t>г.Новозыбков,ул.Первомайская, д.52</t>
  </si>
  <si>
    <t>Муниципальное образование  городской  округ " город Стародуб"</t>
  </si>
  <si>
    <t>Итого по Муниципальному образованию  городской округ " город Стародуб"</t>
  </si>
  <si>
    <t>кирпичный</t>
  </si>
  <si>
    <t>г. Стародуб,ул. Краснооктябрьская, д. №40а</t>
  </si>
  <si>
    <t>г. Стародуб, ул.Ленина , 128</t>
  </si>
  <si>
    <t>г. Стародуб, ул.Ленина , д.№ 128</t>
  </si>
  <si>
    <t>г. Стародуб, ул. Ленина, д.№124в</t>
  </si>
  <si>
    <t>хвс,г,э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</si>
  <si>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</si>
  <si>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</si>
  <si>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крупноблочные (ячеистый бетон)</t>
  </si>
  <si>
    <t>г. Фокино, ул. Калинина, д. 7</t>
  </si>
  <si>
    <t>г. Фокино, ул. Калинина, д. 14</t>
  </si>
  <si>
    <t>г. Фокино, ул. Калинина, д. 12</t>
  </si>
  <si>
    <t>г. Фокино, ул. Карла Маркса, д. 19</t>
  </si>
  <si>
    <t>г. Фокино, ул. Карла Маркса, д. 21</t>
  </si>
  <si>
    <t>г. Фокино, ул. Карла Маркса, д. 30</t>
  </si>
  <si>
    <t>Муниципальное образование "Сельцовский городской округ"</t>
  </si>
  <si>
    <t>г. Сельцо, ул. Мейпариани, д. 32</t>
  </si>
  <si>
    <t>Итого по муниципальному образованию  "Сельцовский городской округ"</t>
  </si>
  <si>
    <t>Итого по муниципальному образованию "Сельцовский городской округ"</t>
  </si>
  <si>
    <t>Итого по муниципальному образованию "Локотское городское поселение" Брасовского муниципального района</t>
  </si>
  <si>
    <t>Муниципальное образование "Локотское городское поселение" Брасовского муниципального района</t>
  </si>
  <si>
    <t>п.Локоть, ул. Пушкинская, д.6</t>
  </si>
  <si>
    <t>п.Локоть, ул.Пушкинская, д.6</t>
  </si>
  <si>
    <t>п.Локоть, ул.Пушкинская, д.21</t>
  </si>
  <si>
    <t>п.Локоть, пр-кт Ленина, д.53</t>
  </si>
  <si>
    <t>п. Воронов Лог, ул. Луговая, д. 1</t>
  </si>
  <si>
    <t>п.Локоть, пр-кт Ленина, д.37</t>
  </si>
  <si>
    <t>Итого по муниципальному образованию "Брянский муниципальный район"</t>
  </si>
  <si>
    <t>с.Глинищево, ул.Садовая, д.23</t>
  </si>
  <si>
    <t>с.Глинищево, ул.Школьная, д.3</t>
  </si>
  <si>
    <t>д.Добрунь, ул.Брянская, д.9</t>
  </si>
  <si>
    <t>д.Добрунь, ул.Луговая, д.1</t>
  </si>
  <si>
    <t>д.Добрунь, ул.Полевая, д.2</t>
  </si>
  <si>
    <t>д.Добрунь, ул.Полевая, д.3</t>
  </si>
  <si>
    <t>д.Добрунь, ул.Юбилейная, д.19</t>
  </si>
  <si>
    <t>п.Мичуринский, ул.Спортивная, д.6</t>
  </si>
  <si>
    <t>с.Новоселки, ул.Резцова, д.3</t>
  </si>
  <si>
    <t>п.Пальцо, ул.Молодежная, д.6</t>
  </si>
  <si>
    <t>п.Путевка, ул.Молодежная, д.17</t>
  </si>
  <si>
    <t>с.Толмачево, ул.Трудовая, д.9</t>
  </si>
  <si>
    <t>п.Санаторий Снежка, д.2</t>
  </si>
  <si>
    <t>с.Супонево, ул.Фрунзе, д.83</t>
  </si>
  <si>
    <t>п. Выгоничи, ул Молодежная, д. 2</t>
  </si>
  <si>
    <t>п. Выгоничи, ул Пионерская, д. 44</t>
  </si>
  <si>
    <t>п.Мирный, ул. Лесная, д. 2</t>
  </si>
  <si>
    <t>п.Мирный, ул.Лесная, д.2</t>
  </si>
  <si>
    <t>хвс,т,к,э,г</t>
  </si>
  <si>
    <t>г. Сельцо, пер. Мейпариани,3</t>
  </si>
  <si>
    <t>д. Хмелево, ул. Молодежная, д. 41</t>
  </si>
  <si>
    <t>пгт Дубровка, ул. Ленина, д.65</t>
  </si>
  <si>
    <t>пгт Дубровка, ул. Ленина, д.69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</si>
  <si>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</si>
  <si>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</si>
  <si>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</si>
  <si>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</si>
  <si>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1982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</si>
  <si>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</si>
  <si>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</si>
  <si>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</si>
  <si>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"Любохонское городское поселение"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</si>
  <si>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</si>
  <si>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</si>
  <si>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г. Дятьково, 12 Микрорайон, д.4</t>
  </si>
  <si>
    <t>г. Дятьково,  12 Микрорайон, д.5</t>
  </si>
  <si>
    <t>г. Дятьково, 12 Микрорайон, д.8</t>
  </si>
  <si>
    <t>г. Дятьково,ул. Ленина д.117</t>
  </si>
  <si>
    <t>г. Дятьково, ул Ленина, д. 226</t>
  </si>
  <si>
    <t>г. Дятьково, ул Усадьба РТС, д. 28</t>
  </si>
  <si>
    <t>г. Дятьково,  13 Микрорайон д.17</t>
  </si>
  <si>
    <t>г. Дятьково, ул. Карла Маркса, д.9</t>
  </si>
  <si>
    <t>г. Дятьково ул. К. Маркса, д.11</t>
  </si>
  <si>
    <t>г. Дятьково ул. Садовая, д.9</t>
  </si>
  <si>
    <t>г. Дятьково, ул. Ленина д.143</t>
  </si>
  <si>
    <t xml:space="preserve">п. Бытошь, ул Маяковского, д.1 </t>
  </si>
  <si>
    <t>п. Старь, ул Рябка, д. 3</t>
  </si>
  <si>
    <t>с. Слободище,  ул. Гагарина д.6</t>
  </si>
  <si>
    <t>п. Любохна, ул Брянская , д. 25</t>
  </si>
  <si>
    <t xml:space="preserve"> кирпичные</t>
  </si>
  <si>
    <t>блочные</t>
  </si>
  <si>
    <t>п.Ивот, ул.Пролетарская д.16</t>
  </si>
  <si>
    <t>д.Сельцо ул.Ленина д.1</t>
  </si>
  <si>
    <t>п.Ивот ул Пролетарская д.16</t>
  </si>
  <si>
    <t>г. Брянск, пр-кт Московский, д.144</t>
  </si>
  <si>
    <t>г. Брянск, ул.Молодой Гвардии, д.60</t>
  </si>
  <si>
    <t>1991</t>
  </si>
  <si>
    <t>Итого по муниципальному образованию  Жуковский муниципальный район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</si>
  <si>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</si>
  <si>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</si>
  <si>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д.Гришина Слобода, ул.Молодежная, д.16</t>
  </si>
  <si>
    <t>г. Жуковка, пер.Весенний, д.1</t>
  </si>
  <si>
    <t>г. Жуковка, ул Карла Либкнехта, д.4</t>
  </si>
  <si>
    <t>с.Овстуг, пер.Бирилевой, д.5</t>
  </si>
  <si>
    <t>г. Карачев, ул Дзержинского, д. 8</t>
  </si>
  <si>
    <t>с. Вельяминова,ул. Октябрьская, д.14</t>
  </si>
  <si>
    <t>п. Дунаевский, ул. Школьная, д.3</t>
  </si>
  <si>
    <t>д. Масловка, ул.Трудовая, д.4</t>
  </si>
  <si>
    <t>кирпмичный</t>
  </si>
  <si>
    <t>Муниципальное образование "Клетнянское городское поселение" Клетнянского муниципального района</t>
  </si>
  <si>
    <t>Итого по муниципальному образованию "Клетнянское городское поселение" Клетнянского муниципального района</t>
  </si>
  <si>
    <t>пгт Клетня, ул Советская, д. 19</t>
  </si>
  <si>
    <t>пгт Клетня, ул Советская, д. 23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</si>
  <si>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</si>
  <si>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городское поселение пгт Климово Климовского муниципального района</t>
  </si>
  <si>
    <t>пгт Климово, кв-л Микрорайон, д. 14</t>
  </si>
  <si>
    <t>пгт Климово, ул Лесная, д. 24</t>
  </si>
  <si>
    <t>пгт Климово, кв-л Микрорайон, д. 4</t>
  </si>
  <si>
    <t>пгт Климово, ул. Новая, д. 4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</si>
  <si>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</si>
  <si>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</si>
  <si>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п. Владимировка, ул Центральная, д. 1</t>
  </si>
  <si>
    <t>п. Владимировка, ул Центральная, д.1</t>
  </si>
  <si>
    <t>пгт. Красная Гора, пер. Майский, д. 2</t>
  </si>
  <si>
    <t>пгт. Красная Гора, ул.Буйневича, д. 24</t>
  </si>
  <si>
    <t>пгт. Красная Гора, пер. Майский, д.2</t>
  </si>
  <si>
    <t>пгт. Красная Гора, ул. Буйневича, д.24</t>
  </si>
  <si>
    <t>п. Беловодка, ул. 60 лет Октября, д. 4</t>
  </si>
  <si>
    <t>п. Навля, ул Советская, д. 3</t>
  </si>
  <si>
    <t>Муниципальное образование  "Навлинское городское поселение" Навлинского муниципального района</t>
  </si>
  <si>
    <t>п. Навля, ул Генерала Петренко, д. 2</t>
  </si>
  <si>
    <t xml:space="preserve">с. Замишево, ул. Манюковская, № 20 </t>
  </si>
  <si>
    <t>Итого по муниципальному образованию: "Погарское городское поселение" Погарского муниципального района</t>
  </si>
  <si>
    <t>г. Трубчевск, ул. Комсомольская, д.40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</si>
  <si>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</si>
  <si>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</si>
  <si>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</si>
  <si>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</si>
  <si>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с.Дарковичи, Дом-интернат, д.1</t>
  </si>
  <si>
    <t>г. Карачев, ул. 50 лет Октября, д. 78</t>
  </si>
  <si>
    <t>г.Трубчевск, ул. Комсомольская, д.40</t>
  </si>
  <si>
    <t>д. Березино, ул. Керамическая д.38</t>
  </si>
  <si>
    <t>пгт Климово, ул Новая, д. 4</t>
  </si>
  <si>
    <t>газ</t>
  </si>
  <si>
    <t>руб,</t>
  </si>
  <si>
    <t>переустройство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</si>
  <si>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</si>
  <si>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</si>
  <si>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</si>
  <si>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</si>
  <si>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</si>
  <si>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</si>
  <si>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</si>
  <si>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</si>
  <si>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</si>
  <si>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</si>
  <si>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</si>
  <si>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</si>
  <si>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</si>
  <si>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Муниципальное образование "Севское городское поселение" Севского муниципального района</t>
  </si>
  <si>
    <t>0.00</t>
  </si>
  <si>
    <t>г. Брянск, ул. Крахмалева д.  7</t>
  </si>
  <si>
    <t>Муниципальное образование "Брянский муниципальный район"</t>
  </si>
  <si>
    <t>Муниципальное образование "Локотское городское поселение"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</si>
  <si>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</si>
  <si>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</si>
  <si>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Муниципальное образование "Жуковский муниципальный район"</t>
  </si>
  <si>
    <t>Муниципальное образование  "Жуковский муниципальный район"</t>
  </si>
  <si>
    <t>Итого по муниципальному образованию "Жуковский муниципальный район"</t>
  </si>
  <si>
    <t>Муниципальное образование «Погарское городское поселение» Погарского муниципального района</t>
  </si>
  <si>
    <t>хвс,к,г,эс</t>
  </si>
  <si>
    <t>фасад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</si>
  <si>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</si>
  <si>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</si>
  <si>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п. Вышков, ул. Кооперативная, д. 19</t>
  </si>
  <si>
    <t>г. Сельцо, пер. Мейпариани, д. 3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</si>
  <si>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</si>
  <si>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"Слободищенскоее сельское поселение" Дятьковского муниципального района"</t>
  </si>
  <si>
    <t>хвс, гвс, кан</t>
  </si>
  <si>
    <t>г. Брянск, ул. Дружбы д. 5</t>
  </si>
  <si>
    <t>г. Карачев, ул. Горького, д. 2</t>
  </si>
  <si>
    <t>хвс, кан,газ</t>
  </si>
  <si>
    <t>г. Брянск, ул. Октябрьская д.32</t>
  </si>
  <si>
    <t>г. Брянск, ул. Октябрьская д. 32</t>
  </si>
  <si>
    <t>г. Брянск, ул. Кольцова д. 7</t>
  </si>
  <si>
    <t>г. Брянск, ул. Кольцова д. 5</t>
  </si>
  <si>
    <t>г. Брянск, ул. Кольцова д. 3</t>
  </si>
  <si>
    <t>кан,хвс,тс,эс,гс</t>
  </si>
  <si>
    <t>п. Чемерна, пер. Молодежный, д. 4</t>
  </si>
  <si>
    <t>п. Чемерна, пер. Молодежный, д. 6</t>
  </si>
  <si>
    <t>Муниципальное образование "Клинцовский  муниципальный район"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</si>
  <si>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</si>
  <si>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</si>
  <si>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</si>
  <si>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</si>
  <si>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</si>
  <si>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</si>
  <si>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</si>
  <si>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"Новозыбковский муниципальный  район"</t>
  </si>
  <si>
    <t>Итого по муниципальному образованию "Новозыбковский муниципальный район"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</si>
  <si>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</si>
  <si>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</si>
  <si>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</si>
  <si>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</si>
  <si>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</si>
  <si>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</si>
  <si>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"Вороновологское сельское поселение" Брасовского муниципального района</t>
  </si>
  <si>
    <t>Муниципальное образование "Вороновологское сельское поселение" Брасовского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</si>
  <si>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</si>
  <si>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</si>
  <si>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Итого по муниципальному образованию  "Мирнинское сельское поселение" Гордеевского муниципального района</t>
  </si>
  <si>
    <t>Итого по муниципальному образованию "Вороновологское сельское поселение" Брасовского муниципального района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</si>
  <si>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</si>
  <si>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</si>
  <si>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</si>
  <si>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</si>
  <si>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 xml:space="preserve">Итого по Муниципальному образованию: "Красногорское городское поселение" Красногорского муниципального  района 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</si>
  <si>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</si>
  <si>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"Новозыбковский муниципальный район"</t>
  </si>
  <si>
    <t>Итого по муниципальному образованию "Новозыбковский  муниципальный район"</t>
  </si>
  <si>
    <t>Муниципальное образование "Меленское сельское поселение" Стародубского муниципального района</t>
  </si>
  <si>
    <t xml:space="preserve">Итого по Муниципальному образованию: "Меленское сельское поселение" Стародубского муниципального района </t>
  </si>
  <si>
    <t xml:space="preserve">Муниципальное образование "Севское городское поселение" Севского  муниципального  района </t>
  </si>
  <si>
    <t xml:space="preserve">Итого по муниципальному образованию: "Суземское городское поселение " Суземского муниципального  района  </t>
  </si>
  <si>
    <t>г. Брянск, ул. б-р 50 лет Октября, д.5</t>
  </si>
  <si>
    <t>г. Брянск, ул. Куйбышева, д. 13</t>
  </si>
  <si>
    <t>г. Брянск, ул. Куйбышева, д. 14</t>
  </si>
  <si>
    <t>хвс,т/с,в/о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</si>
  <si>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</si>
  <si>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</si>
  <si>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</si>
  <si>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</si>
  <si>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</si>
  <si>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</si>
  <si>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</si>
  <si>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</si>
  <si>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</si>
  <si>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</si>
  <si>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</si>
  <si>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</si>
  <si>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</si>
  <si>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</si>
  <si>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</si>
  <si>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г. Брянск, б-р Гагарина, д. 30</t>
  </si>
  <si>
    <t>г. Брянск, пер Авиационный, д. 1/1</t>
  </si>
  <si>
    <t>г. Брянск, пер Авиационный, д. 3/2</t>
  </si>
  <si>
    <t>г. Брянск, пер Авиационный, д. 4/2</t>
  </si>
  <si>
    <t>г. Брянск, пер Авиационный, д. 4/3</t>
  </si>
  <si>
    <t>г. Брянск, пер Авиационный, д. 5</t>
  </si>
  <si>
    <t>г. Брянск, пер Банный, д. 4</t>
  </si>
  <si>
    <t>г. Брянск, пер Горького, д. 5</t>
  </si>
  <si>
    <t>г. Брянск, пер Литвинова, д. 1</t>
  </si>
  <si>
    <t>г. Брянск, пер Металлистов, д. 20А</t>
  </si>
  <si>
    <t>г. Брянск, пер Новозыбковский, д. 3</t>
  </si>
  <si>
    <t>г. Брянск, пер Новозыбковский, д. 5</t>
  </si>
  <si>
    <t>г. Брянск, пер Новозыбковский, д. 7</t>
  </si>
  <si>
    <t>г. Брянск, пер Новозыбковский, д. 12</t>
  </si>
  <si>
    <t>г. Брянск, пер Пилотов, д. 4</t>
  </si>
  <si>
    <t>г. Брянск, пер Пилотов, д. 6</t>
  </si>
  <si>
    <t>г. Брянск, пер Пилотов, д. 8</t>
  </si>
  <si>
    <t>г. Брянск, пер Пилотов, д. 14</t>
  </si>
  <si>
    <t>г. Брянск, пер Почтовый, д. 160</t>
  </si>
  <si>
    <t>г. Брянск, пр-кт Ленина, д. 4В</t>
  </si>
  <si>
    <t>г. Брянск, пр-кт Ленина, д. 45</t>
  </si>
  <si>
    <t>г. Брянск, пр-кт Ленина, д. 53</t>
  </si>
  <si>
    <t>г. Брянск, пр-кт Ленина, д. 55</t>
  </si>
  <si>
    <t>г. Брянск, пр-кт Ленина, д. 63</t>
  </si>
  <si>
    <t>г. Брянск, пр-кт Ленина, д. 70</t>
  </si>
  <si>
    <t>г. Брянск, пр-кт Ленина, д. 74</t>
  </si>
  <si>
    <t>г. Брянск, пр-кт Ленина, д. 80</t>
  </si>
  <si>
    <t>г. Брянск, пр-кт Московский, д. 5</t>
  </si>
  <si>
    <t>г. Брянск, пр-кт Московский, д. 9</t>
  </si>
  <si>
    <t>г. Брянск, пр-кт Московский, д. 10/22</t>
  </si>
  <si>
    <t>г. Брянск, пр-кт Московский, д. 10/3</t>
  </si>
  <si>
    <t>г. Брянск, пр-кт Московский, д. 13</t>
  </si>
  <si>
    <t>г. Брянск, пр-кт Московский, д. 15</t>
  </si>
  <si>
    <t>г. Брянск, пр-кт Московский, д. 17</t>
  </si>
  <si>
    <t>г. Брянск, пр-кт Московский, д. 18А</t>
  </si>
  <si>
    <t>г. Брянск, пр-кт Московский, д. 21</t>
  </si>
  <si>
    <t>г. Брянск, пр-кт Московский, д. 60</t>
  </si>
  <si>
    <t>г. Брянск, пр-кт Московский, д. 90А</t>
  </si>
  <si>
    <t>г. Брянск, пр-кт Московский, д. 92</t>
  </si>
  <si>
    <t>г. Брянск, пр-кт Московский, д. 138</t>
  </si>
  <si>
    <t>г. Брянск, пр-кт Московский, д. 138А</t>
  </si>
  <si>
    <t>г. Брянск, пр-кт Московский, д. 142/1</t>
  </si>
  <si>
    <t>г. Брянск, пр-кт Московский, д. 142/2</t>
  </si>
  <si>
    <t>г. Брянск, пр-кт Станке Димитрова, д. 60</t>
  </si>
  <si>
    <t>г. Брянск, пр-кт Станке Димитрова, д. 61/1</t>
  </si>
  <si>
    <t>г. Брянск, пр-кт Станке Димитрова, д. 102</t>
  </si>
  <si>
    <t>г. Брянск, проезд 1-й Станке Димитрова, д. 4</t>
  </si>
  <si>
    <t>г. Брянск, проезд Ново-Дзержинский, д. 45</t>
  </si>
  <si>
    <t>г. Брянск, ул 12 лет Октября, д. 2</t>
  </si>
  <si>
    <t>г. Брянск, ул 2-я Аллея, д. 3</t>
  </si>
  <si>
    <t>г. Брянск, ул 2-я Аллея, д. 5</t>
  </si>
  <si>
    <t>г. Брянск, ул 2-я Аллея, д. 18</t>
  </si>
  <si>
    <t>г. Брянск, ул 2-я Мичурина, д. 11</t>
  </si>
  <si>
    <t>г. Брянск, ул 2-я Мичурина, д. 15</t>
  </si>
  <si>
    <t>г. Брянск, ул 22 съезда КПСС, д. 12</t>
  </si>
  <si>
    <t>г. Брянск, ул 22 съезда КПСС, д. 47</t>
  </si>
  <si>
    <t>г. Брянск, ул 3 Интернационала, д. 1</t>
  </si>
  <si>
    <t>г. Брянск, ул 3 Интернационала, д. 14</t>
  </si>
  <si>
    <t>г. Брянск, ул Белорусская, д. 38А</t>
  </si>
  <si>
    <t>г. Брянск, ул Богдана Хмельницкого, д. 77</t>
  </si>
  <si>
    <t>г. Брянск, ул Брянской Пролетарской Дивизии, д. 17</t>
  </si>
  <si>
    <t>г. Брянск, ул Гвардейская, д. 2А</t>
  </si>
  <si>
    <t>г. Брянск, ул Горбатова, д. 2</t>
  </si>
  <si>
    <t>г. Брянск, ул Горбатова, д. 5</t>
  </si>
  <si>
    <t>г. Брянск, ул Горбатова, д. 15</t>
  </si>
  <si>
    <t>г. Брянск, ул Дружбы, д. 8</t>
  </si>
  <si>
    <t>г. Брянск, ул Заводская, д. 2А</t>
  </si>
  <si>
    <t>г. Брянск, ул Калинина, д. 109</t>
  </si>
  <si>
    <t>г. Брянск, ул Камозина, д. 10</t>
  </si>
  <si>
    <t>г. Брянск, ул Камозина, д. 23</t>
  </si>
  <si>
    <t>г. Брянск, ул Камозина, д. 36</t>
  </si>
  <si>
    <t>г. Брянск, ул Камозина, д. 40</t>
  </si>
  <si>
    <t>г. Брянск, ул Камозина, д. 42</t>
  </si>
  <si>
    <t>г. Брянск, ул Камозина, д. 44</t>
  </si>
  <si>
    <t>г. Брянск, ул Киевская, д. 34</t>
  </si>
  <si>
    <t>г. Брянск, ул Клинцовская, д. 55</t>
  </si>
  <si>
    <t>г. Брянск, ул Комсомольская, д. 3</t>
  </si>
  <si>
    <t>г. Брянск, ул Котовского, д. 27А</t>
  </si>
  <si>
    <t>г. Брянск, ул Крапивницкого, д. 20</t>
  </si>
  <si>
    <t>г. Брянск, ул Красноармейская, д. 168</t>
  </si>
  <si>
    <t>г. Брянск, ул Красноармейская, д. 172</t>
  </si>
  <si>
    <t>г. Брянск, ул Красных Партизан, д. 19А</t>
  </si>
  <si>
    <t>г. Брянск, ул Крахмалева, д. 5</t>
  </si>
  <si>
    <t>г. Брянск, ул Крахмалева, д. 9</t>
  </si>
  <si>
    <t>г. Брянск, ул Куйбышева, д. 4</t>
  </si>
  <si>
    <t>г. Брянск, ул Куйбышева, д. 19КВ.1-81</t>
  </si>
  <si>
    <t>г. Брянск, ул Литейная, д. 17/114</t>
  </si>
  <si>
    <t>г. Брянск, ул Медведева, д. 73</t>
  </si>
  <si>
    <t>г. Брянск, ул Медведева, д. 75</t>
  </si>
  <si>
    <t>г. Брянск, ул Металлургов, д. 39</t>
  </si>
  <si>
    <t>г. Брянск, ул Молодой Гвардии, д. 90</t>
  </si>
  <si>
    <t>г. Брянск, ул Ново-Советская, д. 40</t>
  </si>
  <si>
    <t>г. Брянск, ул Ново-Советская, д. 42</t>
  </si>
  <si>
    <t>г. Брянск, ул Ново-Советская, д. 81</t>
  </si>
  <si>
    <t>г. Брянск, ул Ново-Советская, д. 97А</t>
  </si>
  <si>
    <t>г. Брянск, ул Новозыбковская, д. 14</t>
  </si>
  <si>
    <t>г. Брянск, ул Новозыбковская, д. 17</t>
  </si>
  <si>
    <t>г. Брянск, ул Новозыбковская, д. 19</t>
  </si>
  <si>
    <t>г. Брянск, ул Орловская, д. 3</t>
  </si>
  <si>
    <t>г. Брянск, ул Орловская, д. 12</t>
  </si>
  <si>
    <t>г. Брянск, ул Орловская, д. 19</t>
  </si>
  <si>
    <t>г. Брянск, ул Орловская, д. 20</t>
  </si>
  <si>
    <t>г. Брянск, ул Орловская, д. 22</t>
  </si>
  <si>
    <t>г. Брянск, ул Орловская, д. 23</t>
  </si>
  <si>
    <t>г. Брянск, ул Орловская, д. 24</t>
  </si>
  <si>
    <t>г. Брянск, ул Песчаная, д. 1</t>
  </si>
  <si>
    <t>г. Брянск, ул Покровская Гора, д. 3</t>
  </si>
  <si>
    <t>г. Брянск, ул Пролетарская, д. 70</t>
  </si>
  <si>
    <t>г. Брянск, ул Советская, д. 32А</t>
  </si>
  <si>
    <t>г. Брянск, ул Тельмана, д. 86</t>
  </si>
  <si>
    <t>г. Брянск, ул Тельмана, д. 88</t>
  </si>
  <si>
    <t>г. Брянск, ул Фокина, д. 86</t>
  </si>
  <si>
    <t>г. Брянск, рп Белые Берега (г Брянск), ул Пролетарская, д. 4</t>
  </si>
  <si>
    <t>12.2018</t>
  </si>
  <si>
    <t>12.2019</t>
  </si>
  <si>
    <t>1966</t>
  </si>
  <si>
    <t>1977</t>
  </si>
  <si>
    <t>1989</t>
  </si>
  <si>
    <t>1987</t>
  </si>
  <si>
    <t>1964</t>
  </si>
  <si>
    <t>1965</t>
  </si>
  <si>
    <t>1972</t>
  </si>
  <si>
    <t>1971</t>
  </si>
  <si>
    <t>1983</t>
  </si>
  <si>
    <t>1986</t>
  </si>
  <si>
    <t>1979</t>
  </si>
  <si>
    <t>1954</t>
  </si>
  <si>
    <t>1959</t>
  </si>
  <si>
    <t>1981</t>
  </si>
  <si>
    <t>1988</t>
  </si>
  <si>
    <t>1962</t>
  </si>
  <si>
    <t>1976</t>
  </si>
  <si>
    <t>1980</t>
  </si>
  <si>
    <t>1955</t>
  </si>
  <si>
    <t>1963</t>
  </si>
  <si>
    <t>1967</t>
  </si>
  <si>
    <t>1973</t>
  </si>
  <si>
    <t>1968</t>
  </si>
  <si>
    <t>1984</t>
  </si>
  <si>
    <t>1974</t>
  </si>
  <si>
    <t>1975</t>
  </si>
  <si>
    <t>1978</t>
  </si>
  <si>
    <t>1985</t>
  </si>
  <si>
    <t>1952</t>
  </si>
  <si>
    <t>железобетонные с металлическим каркасом</t>
  </si>
  <si>
    <t>комбинированные</t>
  </si>
  <si>
    <t>г. Брянск, аллея Металлургов, д. 2</t>
  </si>
  <si>
    <t>г. Брянск, б-р Гагарина, д. 22</t>
  </si>
  <si>
    <t>г. Брянск, мкр Московский, д. 41/2</t>
  </si>
  <si>
    <t>г. Брянск, мкр Московский, д. 43</t>
  </si>
  <si>
    <t>г. Брянск, мкр Московский, д. 45</t>
  </si>
  <si>
    <t>г. Брянск, пер 2-й Мичурина, д. 1</t>
  </si>
  <si>
    <t>г. Брянск, пер 2-й Мичурина, д. 3</t>
  </si>
  <si>
    <t>г. Брянск, пер 2-й Мичурина, д. 5</t>
  </si>
  <si>
    <t>г. Брянск, пер 22 съезда КПСС, д. 59</t>
  </si>
  <si>
    <t>г. Брянск, пер Авиационный, д. 3/1</t>
  </si>
  <si>
    <t>г. Брянск, пер Авиационный, д. 3/3</t>
  </si>
  <si>
    <t>г. Брянск, пер Авиационный, д. 4/1</t>
  </si>
  <si>
    <t>г. Брянск, пер Банный, д. 1</t>
  </si>
  <si>
    <t>г. Брянск, пер Банный, д. 2</t>
  </si>
  <si>
    <t>г. Брянск, пер Гончарова, д. 60</t>
  </si>
  <si>
    <t>г. Брянск, пер Гончарова, д. 64</t>
  </si>
  <si>
    <t>г. Брянск, пер Гончарова, д. 66</t>
  </si>
  <si>
    <t>г. Брянск, пер Гончарова, д. 68</t>
  </si>
  <si>
    <t>г. Брянск, пер Гончарова, д. 72</t>
  </si>
  <si>
    <t>г. Брянск, пер Горького, д. 4</t>
  </si>
  <si>
    <t>г. Брянск, пер Камвольный, д. 6</t>
  </si>
  <si>
    <t>г. Брянск, пер Кирова, д. 108</t>
  </si>
  <si>
    <t>г. Брянск, пер Кирова, д. 122</t>
  </si>
  <si>
    <t>г. Брянск, пер Кирова, д. 124</t>
  </si>
  <si>
    <t>г. Брянск, пер Металлистов, д. 4А</t>
  </si>
  <si>
    <t>г. Брянск, пер Металлистов, д. 9</t>
  </si>
  <si>
    <t>г. Брянск, пер Ново-Советский, д. 46</t>
  </si>
  <si>
    <t>г. Брянск, пер Ново-Советский, д. 48</t>
  </si>
  <si>
    <t>г. Брянск, пер Осоавиахима, д. 3</t>
  </si>
  <si>
    <t>г. Брянск, пер Почтовый, д. 75</t>
  </si>
  <si>
    <t>г. Брянск, пер Почтовый, д. 83</t>
  </si>
  <si>
    <t>г. Брянск, пер Почтовый, д. 85</t>
  </si>
  <si>
    <t>г. Брянск, пер Северный, д. 49</t>
  </si>
  <si>
    <t>г. Брянск, пер Северный, д. 51</t>
  </si>
  <si>
    <t>г. Брянск, пер Северный, д. 53</t>
  </si>
  <si>
    <t>г. Брянск, пер Трудовой, д. 1</t>
  </si>
  <si>
    <t>г. Брянск, пер Фокина, д. 4</t>
  </si>
  <si>
    <t>г. Брянск, пер Фокина, д. 6</t>
  </si>
  <si>
    <t>г. Брянск, пер Фокина, д. 8</t>
  </si>
  <si>
    <t>г. Брянск, пр-кт Ленина, д. 2А</t>
  </si>
  <si>
    <t>г. Брянск, пр-кт Ленина, д. 4А</t>
  </si>
  <si>
    <t>г. Брянск, пр-кт Ленина, д. 65</t>
  </si>
  <si>
    <t>г. Брянск, пр-кт Ленина, д. 78</t>
  </si>
  <si>
    <t>г. Брянск, пр-кт Ленина, д. 101</t>
  </si>
  <si>
    <t>г. Брянск, пр-кт Московский, д. 24А</t>
  </si>
  <si>
    <t>г. Брянск, пр-кт Московский, д. 34</t>
  </si>
  <si>
    <t>г. Брянск, пр-кт Московский, д. 50</t>
  </si>
  <si>
    <t>г. Брянск, пр-кт Станке Димитрова, д. 2</t>
  </si>
  <si>
    <t>г. Брянск, пр-кт Станке Димитрова, д. 8</t>
  </si>
  <si>
    <t>г. Брянск, пр-кт Станке Димитрова, д. 13</t>
  </si>
  <si>
    <t>г. Брянск, пр-кт Станке Димитрова, д. 14</t>
  </si>
  <si>
    <t>г. Брянск, пр-кт Станке Димитрова, д. 16</t>
  </si>
  <si>
    <t>г. Брянск, пр-кт Станке Димитрова, д. 18</t>
  </si>
  <si>
    <t>г. Брянск, пр-кт Станке Димитрова, д. 20</t>
  </si>
  <si>
    <t>г. Брянск, пр-кт Станке Димитрова, д. 22</t>
  </si>
  <si>
    <t>г. Брянск, пр-кт Станке Димитрова, д. 24А</t>
  </si>
  <si>
    <t>г. Брянск, пр-кт Станке Димитрова, д. 53</t>
  </si>
  <si>
    <t>г. Брянск, проезд 1-й Станке Димитрова, д. 5</t>
  </si>
  <si>
    <t>г. Брянск, проезд 1-й Станке Димитрова, д. 6</t>
  </si>
  <si>
    <t>г. Брянск, проезд 2-й Станке Димитрова, д. 1</t>
  </si>
  <si>
    <t>г. Брянск, проезд 2-й Станке Димитрова, д. 3</t>
  </si>
  <si>
    <t>г. Брянск, проезд 2-й Станке Димитрова, д. 5</t>
  </si>
  <si>
    <t>г. Брянск, проезд 2-й Станке Димитрова, д. 7</t>
  </si>
  <si>
    <t>г. Брянск, проезд 2-й Станке Димитрова, д. 7Б</t>
  </si>
  <si>
    <t>г. Брянск, проезд 2-й Станке Димитрова, д. 9</t>
  </si>
  <si>
    <t>г. Брянск, проезд Федюнинского, д. 6</t>
  </si>
  <si>
    <t>г. Брянск, проезд Федюнинского, д. 8</t>
  </si>
  <si>
    <t>г. Брянск, проезд Федюнинского, д. 10</t>
  </si>
  <si>
    <t>г. Брянск, проезд Федюнинского, д. 12</t>
  </si>
  <si>
    <t>г. Брянск, проезд Федюнинского, д. 14</t>
  </si>
  <si>
    <t>г. Брянск, ул 2-я Аллея, д. 18А</t>
  </si>
  <si>
    <t>г. Брянск, ул 2-я Мичурина, д. 1А</t>
  </si>
  <si>
    <t>г. Брянск, ул 2-я Мичурина, д. 13</t>
  </si>
  <si>
    <t>г. Брянск, ул 22 съезда КПСС, д. 13</t>
  </si>
  <si>
    <t>г. Брянск, ул 22 съезда КПСС, д. 17</t>
  </si>
  <si>
    <t>г. Брянск, ул 22 съезда КПСС, д. 21</t>
  </si>
  <si>
    <t>г. Брянск, ул 22 съезда КПСС, д. 23</t>
  </si>
  <si>
    <t>г. Брянск, ул 22 съезда КПСС, д. 27</t>
  </si>
  <si>
    <t>г. Брянск, ул 22 съезда КПСС, д. 29</t>
  </si>
  <si>
    <t>г. Брянск, ул 22 съезда КПСС, д. 37</t>
  </si>
  <si>
    <t>г. Брянск, ул 22 съезда КПСС, д. 41</t>
  </si>
  <si>
    <t>г. Брянск, ул 22 съезда КПСС, д. 43</t>
  </si>
  <si>
    <t>г. Брянск, ул 22 съезда КПСС, д. 45</t>
  </si>
  <si>
    <t>г. Брянск, ул 22 съезда КПСС, д. 51</t>
  </si>
  <si>
    <t>г. Брянск, ул 22 съезда КПСС, д. 51А</t>
  </si>
  <si>
    <t>г. Брянск, ул 3 Интернационала, д. 10</t>
  </si>
  <si>
    <t>г. Брянск, ул 3 Интернационала, д. 12</t>
  </si>
  <si>
    <t>г. Брянск, ул Вокзальная, д. 154</t>
  </si>
  <si>
    <t>г. Брянск, ул Камозина, д. 21</t>
  </si>
  <si>
    <t>г. Брянск, ул Красноармейская, д. 126</t>
  </si>
  <si>
    <t>г. Брянск, ул Куйбышева, д. 19КВ.82-102</t>
  </si>
  <si>
    <t>г. Брянск, ул Льговская, д. 6</t>
  </si>
  <si>
    <t>г. Брянск, ул Металлургов, д. 33</t>
  </si>
  <si>
    <t>г. Брянск, ул Пролетарская, д. 34</t>
  </si>
  <si>
    <t>г. Брянск, ул Пролетарская, д. 68</t>
  </si>
  <si>
    <t>г. Брянск, ул Пушкина, д. 65</t>
  </si>
  <si>
    <t>г. Брянск, ул Пушкина, д. 75</t>
  </si>
  <si>
    <t>г. Брянск, ул Радищева, д. 1</t>
  </si>
  <si>
    <t>г. Брянск, ул Ромашина, д. 17</t>
  </si>
  <si>
    <t>г. Брянск, ул Ростовская, д. 4</t>
  </si>
  <si>
    <t>г. Брянск, ул Рылеева, д. 1</t>
  </si>
  <si>
    <t>г. Брянск, ул Рылеева, д. 5</t>
  </si>
  <si>
    <t>г. Брянск, ул Союзная, д. 7</t>
  </si>
  <si>
    <t>г. Брянск, ул Спартаковская, д. 114</t>
  </si>
  <si>
    <t>г. Брянск, ул Спартаковская, д. 128</t>
  </si>
  <si>
    <t>г. Брянск, ул Тухачевского, д. 15</t>
  </si>
  <si>
    <t>г. Брянск, ул Ульянова, д. 117</t>
  </si>
  <si>
    <t>г. Брянск, ул Ухтомского, д. 2</t>
  </si>
  <si>
    <t>г. Брянск, ул Ухтомского, д. 4</t>
  </si>
  <si>
    <t>г. Брянск, ул Фрунзе, д. 80</t>
  </si>
  <si>
    <t>г. Брянск, ул Харьковская, д. 4</t>
  </si>
  <si>
    <t>г. Брянск, ул Чернышевского, д. 52</t>
  </si>
  <si>
    <t>г. Брянск, ул Чернышевского, д. 52Б</t>
  </si>
  <si>
    <t>г. Брянск, ул Чернышевского, д. 64А</t>
  </si>
  <si>
    <t>г. Брянск, ул Чернышевского, д. 68А</t>
  </si>
  <si>
    <t>г. Брянск, ул Чкалова, д. 2</t>
  </si>
  <si>
    <t>г. Брянск, рп Белые Берега (г Брянск), ул Строителей, д. 1</t>
  </si>
  <si>
    <t>г. Брянск, рп Белые Берега (г Брянск), ул Строителей, д. 2</t>
  </si>
  <si>
    <t>г. Брянск, рп Белые Берега (г Брянск), ул Строителей, д. 3</t>
  </si>
  <si>
    <t>г. Брянск, рп Белые Берега (г Брянск), ул Строителей, д. 4</t>
  </si>
  <si>
    <t>г. Брянск, рп Белые Берега (г Брянск), ул Строителей, д. 5</t>
  </si>
  <si>
    <t>г. Брянск, рп Белые Берега (г Брянск), ул Строителей, д. 6</t>
  </si>
  <si>
    <t>г. Брянск, рп Белые Берега (г Брянск), ул Строителей, д. 15</t>
  </si>
  <si>
    <t>1969</t>
  </si>
  <si>
    <t>1990</t>
  </si>
  <si>
    <t>1949</t>
  </si>
  <si>
    <t>1961</t>
  </si>
  <si>
    <t>1947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</si>
  <si>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</si>
  <si>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</si>
  <si>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</si>
  <si>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</si>
  <si>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1917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</si>
  <si>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</si>
  <si>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</si>
  <si>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</si>
  <si>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</si>
  <si>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</si>
  <si>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</si>
  <si>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</si>
  <si>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г. Новозыбков, тер Карховка санаторий, д. 2</t>
  </si>
  <si>
    <t>г. Новозыбков, ул 307 Дивизии, д. 40А</t>
  </si>
  <si>
    <t>г. Новозыбков, ул Вокзальная, д. 44</t>
  </si>
  <si>
    <t>г. Новозыбков, ул Вокзальная, д. 44Б</t>
  </si>
  <si>
    <t>г. Новозыбков, ул Вокзальная, д. 44В</t>
  </si>
  <si>
    <t>г. Новозыбков, ул Ленина, д. 6</t>
  </si>
  <si>
    <t>г. Новозыбков, ул Ломоносова, д. 30</t>
  </si>
  <si>
    <t>г. Новозыбков, ул ОХ Волна Революции, д. 21</t>
  </si>
  <si>
    <t>г. Новозыбков, ул Первомайская, д. 104</t>
  </si>
  <si>
    <t>г. Новозыбков, ул РОС, д. 22</t>
  </si>
  <si>
    <t>г. Новозыбков, ул РОС, д. 24</t>
  </si>
  <si>
    <t>г. Новозыбков, ул Рошаля, д. 33</t>
  </si>
  <si>
    <t>г. Новозыбков, ул Садовая, д. 50</t>
  </si>
  <si>
    <t>1928</t>
  </si>
  <si>
    <t>бревно (брус)</t>
  </si>
  <si>
    <t>г. Новозыбков, пл Красная, д. 1</t>
  </si>
  <si>
    <t>г. Новозыбков, ул Интернациональная, д. 92</t>
  </si>
  <si>
    <t>г. Новозыбков, ул Ломоносова, д. 51</t>
  </si>
  <si>
    <t>г. Новозыбков, ул ОХ Волна Революции, д. 19А</t>
  </si>
  <si>
    <t>г. Новозыбков, ул Первомайская, д. 72А</t>
  </si>
  <si>
    <t>г. Новозыбков, ул Первомайская, д. 122</t>
  </si>
  <si>
    <t>г. Новозыбков, ул РОС, д. 29</t>
  </si>
  <si>
    <t>г. Новозыбков, ул РОС, д. 30</t>
  </si>
  <si>
    <t>г. Новозыбков, ул Садовая, д. 54</t>
  </si>
  <si>
    <t>г. Новозыбков, ул Садовая, д. 58</t>
  </si>
  <si>
    <t>г. Новозыбков, ул Чапаева, д. 3</t>
  </si>
  <si>
    <t>1999</t>
  </si>
  <si>
    <t>г. Фокино, ул. Карла Маркса, д. 7</t>
  </si>
  <si>
    <t>г. Фокино, ул. Карла Маркса, д. 10</t>
  </si>
  <si>
    <t>г. Фокино, ул. Островского, д. 1</t>
  </si>
  <si>
    <t>г. Фокино, ул. Островского, д. 2</t>
  </si>
  <si>
    <t>г. Фокино, ул. Островского, д. 4</t>
  </si>
  <si>
    <t>г. Фокино, ул. Скрябина, д. 2</t>
  </si>
  <si>
    <t>1950</t>
  </si>
  <si>
    <t>1953</t>
  </si>
  <si>
    <t>г. Фокино, ул. Гайдара, д. 2</t>
  </si>
  <si>
    <t>г. Фокино, ул. Гайдара, д. 11</t>
  </si>
  <si>
    <t>г. Фокино, ул. Калинина, д. 9</t>
  </si>
  <si>
    <t>г. Фокино, ул. Калинина, д. 10</t>
  </si>
  <si>
    <t>г. Фокино, ул. Калинина, д. 17</t>
  </si>
  <si>
    <t>г. Сельцо, проезд Горького, д. 9</t>
  </si>
  <si>
    <t>г. Сельцо, ул Кирова, д. 32</t>
  </si>
  <si>
    <t>г. Сельцо, ул Кирова, д. 55</t>
  </si>
  <si>
    <t>г. Сельцо, пер Свердлова, д. 3</t>
  </si>
  <si>
    <t>г. Сельцо, ул 60 лет Октября, д. 20</t>
  </si>
  <si>
    <t>п. Каменка, д. 10</t>
  </si>
  <si>
    <t>п. Каменка, д. 12</t>
  </si>
  <si>
    <t>п. Локоть, пр-кт. Ленина, д. 39</t>
  </si>
  <si>
    <t>п. Локоть, пр-кт. Ленина, д. 45</t>
  </si>
  <si>
    <t>д. Бетово, ул. Центральная, д. 1</t>
  </si>
  <si>
    <t>д. Добрунь, ул. Луговая, д. 2</t>
  </si>
  <si>
    <t>д. Добрунь, ул. Полевая, д. 4</t>
  </si>
  <si>
    <t>д. Добрунь, ул. Юбилейная, д. 4</t>
  </si>
  <si>
    <t>д. Молотино, ул. Центральная, д. 1</t>
  </si>
  <si>
    <t>п. Новые Дарковичи, д. 9</t>
  </si>
  <si>
    <t>п. Путевка, ул. Центральная, д. 11</t>
  </si>
  <si>
    <t>п. Путевка, ул. Центральная, д. 12</t>
  </si>
  <si>
    <t>п. Путевка, ул. Центральная, д. 17</t>
  </si>
  <si>
    <t>п. Стяжное, ул. Вокзальная, д. 2</t>
  </si>
  <si>
    <t>с. Глинищево, ул. Садовая, д. 21</t>
  </si>
  <si>
    <t>с. Глинищево, ул. Связистов, д. 3А</t>
  </si>
  <si>
    <t>с. Отрадное, ул. Ленина, д. 4</t>
  </si>
  <si>
    <t>с. Супонево, ул. Советская, д. 1</t>
  </si>
  <si>
    <t>с. Толмачево, ул. Трудовая, д. 7</t>
  </si>
  <si>
    <t>1993</t>
  </si>
  <si>
    <t>д. Добрунь, ул. Брянская, д. 1</t>
  </si>
  <si>
    <t>д. Добрунь, ул. Брянская, д. 7</t>
  </si>
  <si>
    <t>д. Добрунь, ул. Луговая, д. 7</t>
  </si>
  <si>
    <t>п. Мичуринский, ул. Молодежная, д. 5</t>
  </si>
  <si>
    <t>п. Пальцо, ул. Саши Сабирова, д. 2</t>
  </si>
  <si>
    <t>п. Путевка, ул. Строителей, д. 10</t>
  </si>
  <si>
    <t>п. Путевка, ул. Строителей, д. 13</t>
  </si>
  <si>
    <t>п. Свень, ул. Луначарского, д. 2</t>
  </si>
  <si>
    <t>с. Глинищево, ул. Восточная, д. 2А</t>
  </si>
  <si>
    <t>с. Глинищево, ул. Садовая, д. 3</t>
  </si>
  <si>
    <t>с. Новоселки, ул. Резцова, д. 2</t>
  </si>
  <si>
    <t>с. Супонево, ул. Комсомольская, д. 64</t>
  </si>
  <si>
    <t>1995</t>
  </si>
  <si>
    <t>1992</t>
  </si>
  <si>
    <t>д. Хмелево, ул. Молодежная, д. 42</t>
  </si>
  <si>
    <t>п. Выгоничи, ул. Новобрянская, д. 1</t>
  </si>
  <si>
    <t>п. Выгоничи, ул. Пионерская, д. 53</t>
  </si>
  <si>
    <t>п. Пильшино, ул. Мира, д. 10</t>
  </si>
  <si>
    <t>п. Выгоничи, ул. 9 Мая, д. 10</t>
  </si>
  <si>
    <t>п. Пильшино, ул. Мира, д. 16</t>
  </si>
  <si>
    <t>п. Пильшино, ул. Мира, д. 20</t>
  </si>
  <si>
    <t>п. Мирный, ул. Ленина, д. 1А</t>
  </si>
  <si>
    <t>п. Мирный, ул. Лесная, д. 2</t>
  </si>
  <si>
    <t>с. Гордеевка, ул. Гагарина, д. 2</t>
  </si>
  <si>
    <t>с. Гордеевка, ул. Гагарина, д. 2А</t>
  </si>
  <si>
    <t>с. Гордеевка, ул. Гагарина, д. 2Б</t>
  </si>
  <si>
    <t>с. Гордеевка, ул. Гагарина, д. 2В</t>
  </si>
  <si>
    <t xml:space="preserve">Муниципальное образование  "Гордеевское сельское поселение" Гордеевского муниципального района </t>
  </si>
  <si>
    <t>пгт. Дубровка, ул. Ленина, д. 67</t>
  </si>
  <si>
    <t>с. Алешня, ул. Административная, д. 1</t>
  </si>
  <si>
    <t>пгт. Дубровка, мкр. 1-й, д. 28</t>
  </si>
  <si>
    <t>пгт. Дубровка, ул. Ленина, д. 71</t>
  </si>
  <si>
    <t xml:space="preserve">Муниципальное образование "Алешинское сельское поселение" Дубровского муниципального района </t>
  </si>
  <si>
    <t>г. Дятьково, мкр. 13-й, д. 21</t>
  </si>
  <si>
    <t>г. Дятьково, мкр. 13-й, д. 22</t>
  </si>
  <si>
    <t>г. Дятьково, пер. К.Маркса, д. 4</t>
  </si>
  <si>
    <t>г. Дятьково, ул. Д.Ульянова, д. 2</t>
  </si>
  <si>
    <t>г. Дятьково, ул. Железнодорожная, д. 6А</t>
  </si>
  <si>
    <t>г. Дятьково, ул. К.Маркса, д. 8</t>
  </si>
  <si>
    <t>г. Дятьково, ул. Качалова, д. 7А</t>
  </si>
  <si>
    <t>г. Дятьково, ул. Красная Роза, д. 94</t>
  </si>
  <si>
    <t>г. Дятьково, ул. Станционная, д. 34</t>
  </si>
  <si>
    <t>г. Дятьково, ул. Усадьба РТС, д. 27</t>
  </si>
  <si>
    <t>г. Дятьково, мкр. 12-й, д. 10</t>
  </si>
  <si>
    <t>г. Дятьково, мкр. 12-й, д. 11</t>
  </si>
  <si>
    <t>г. Дятьково, ул. Городок Строителей, д. 7</t>
  </si>
  <si>
    <t>г. Дятьково, ул. Киевская, д. 29</t>
  </si>
  <si>
    <t>г. Дятьково, ул. Ленина, д. 131</t>
  </si>
  <si>
    <t>г. Дятьково, ул. Московская, д. 3</t>
  </si>
  <si>
    <t>г. Дятьково, ул. Орджоникидзе, д. 1А</t>
  </si>
  <si>
    <t>г. Дятьково, ул. Садовая, д. 19</t>
  </si>
  <si>
    <t>г. Дятьково, ул. Станционная, д. 30</t>
  </si>
  <si>
    <t>крупноблочные силикатные</t>
  </si>
  <si>
    <t>п. Старь, ул. Комарова, д. 2</t>
  </si>
  <si>
    <t>п. Старь, ул. Спортивная, д. 2</t>
  </si>
  <si>
    <t>п. Ивот, ул. Пролетарская, д. 2А</t>
  </si>
  <si>
    <t>п. Ивот, ул. Пролетарская, д. 4</t>
  </si>
  <si>
    <t>с. Слободище, ул. Гагарина, д. 25</t>
  </si>
  <si>
    <t>д. Березино, ул. Керамическая, д. 24</t>
  </si>
  <si>
    <t>п. Бытошь, ул. Маяковского, д. 4</t>
  </si>
  <si>
    <t>г. Жуковка, пер. Весенний, д. 4</t>
  </si>
  <si>
    <t>г. Жуковка, пер. Весенний, д. 6</t>
  </si>
  <si>
    <t>г. Жуковка, пер. Мальцева, д. 1</t>
  </si>
  <si>
    <t>г. Жуковка, ул. Строителей, д. 4</t>
  </si>
  <si>
    <t>г. Жуковка, пер. Заводской проезд, д. 6</t>
  </si>
  <si>
    <t>г. Жуковка, пер. Мальцева, д. 5</t>
  </si>
  <si>
    <t>г. Жуковка, ул. Лесная, д. 2</t>
  </si>
  <si>
    <t>г. Жуковка, ул. Лесная, д. 4</t>
  </si>
  <si>
    <t>г. Жуковка, ул. Лесная, д. 6</t>
  </si>
  <si>
    <t>г. Жуковка, ул. Почтовая, д. 12</t>
  </si>
  <si>
    <t>Муниципальное образование  "Жирятинский муниципальный район"</t>
  </si>
  <si>
    <t>с. Воробейня, ул. Центральная, д. 5</t>
  </si>
  <si>
    <t>Итого по муниципальному образованию "Жирятинский муниципальный район"</t>
  </si>
  <si>
    <t>Муниципальное образование "Злынковское городское поселение" Злынковского муниципального района</t>
  </si>
  <si>
    <t>г. Злынка, ул. Советская, д. 51Г</t>
  </si>
  <si>
    <t>Итого по муниципальному образованию "Злынковское городское поселение" Злынковского муниципального района</t>
  </si>
  <si>
    <t>п. Вышков, пер. Первомайский, д. 2</t>
  </si>
  <si>
    <t>г. Карачев, ул. Дзержинского, д. 1</t>
  </si>
  <si>
    <t>г. Карачев, ул. Карла Либкнехта, д. 2А</t>
  </si>
  <si>
    <t>г. Карачев, ул. Карла Либкнехта, д. 2Б</t>
  </si>
  <si>
    <t>г. Карачев, ул. Первомайская, д. 139</t>
  </si>
  <si>
    <t>г. Карачев, ул. Советская, д. 55</t>
  </si>
  <si>
    <t>д. Масловка, ул. Трудовая, д. 1</t>
  </si>
  <si>
    <t>г. Карачев, ул. Октябрьская, д. 96</t>
  </si>
  <si>
    <t>г. Карачев, ул. Октябрьская, д. 100</t>
  </si>
  <si>
    <t>г. Карачев, ул. Первомайская, д. 125</t>
  </si>
  <si>
    <t>г. Карачев, ул. Пролетарская, д. 2А</t>
  </si>
  <si>
    <t>г. Карачев, ул. Свердлова, д. 1</t>
  </si>
  <si>
    <t>г. Карачев, ул. Советская, д. 62</t>
  </si>
  <si>
    <t>пгт. Климово, кв-л. Микрорайон, д. 25</t>
  </si>
  <si>
    <t>пгт. Климово, ул. Калинина, д. 10</t>
  </si>
  <si>
    <t>пгт. Климово, ул. Лесная, д. 26</t>
  </si>
  <si>
    <t>пгт. Климово, кв-л. Микрорайон, д. 29</t>
  </si>
  <si>
    <t>пгт. Климово, кв-л. Микрорайон, д. 38А</t>
  </si>
  <si>
    <t>п. Оболешево, ул. Центральная, д. 5</t>
  </si>
  <si>
    <t>п. Чемерна, ул. Школьная, д. 7</t>
  </si>
  <si>
    <t>п. Марьинка, ул. Мичурина, д. 3А</t>
  </si>
  <si>
    <t>п. Лопандино, ул. Кирова, д. 2</t>
  </si>
  <si>
    <t>п. Марьинка, ул. Мичурина, д. 3В</t>
  </si>
  <si>
    <t>пгт. Красная Гора, пер. Майский, д. 8</t>
  </si>
  <si>
    <t>пгт. Красная Гора, пер. Майский, д. 10</t>
  </si>
  <si>
    <t>пгт. Красная Гора, ул. Первомайская, д. 14</t>
  </si>
  <si>
    <t>пгт. Красная Гора, пер. Майский, д. 1</t>
  </si>
  <si>
    <t>пгт. Красная Гора, пер. Майский, д. 3</t>
  </si>
  <si>
    <t>пгт. Красная Гора, ул. Батуровская, д. 6</t>
  </si>
  <si>
    <t>2003</t>
  </si>
  <si>
    <t>Муниципальное образование "Мглинское городское поселение" Мглинского района</t>
  </si>
  <si>
    <t>г. Мглин, ул. Ворошилова, д. 39</t>
  </si>
  <si>
    <t>Итого по Муниципальному образованию: "Мглинское городское поселение" Мглинского муниципального района</t>
  </si>
  <si>
    <t>г. Мглин, мкр. Имени А.Ващенко, д. 6</t>
  </si>
  <si>
    <t>п. Навля, пер. Мелиораторов, д. 1</t>
  </si>
  <si>
    <t>с. Замишево, ул. Манюковская, д. 16</t>
  </si>
  <si>
    <t>с. Старый Вышков, пер. 1 Мая, д. 1</t>
  </si>
  <si>
    <t>д. Вадьковка, ул. Комсомольская, д. 5</t>
  </si>
  <si>
    <t>п. Гетуновка, ул. Центральная, д. 1</t>
  </si>
  <si>
    <t>п. Гетуновка, ул. Центральная, д. 2</t>
  </si>
  <si>
    <t>п. Громыки, пер. Клубный, д. 2</t>
  </si>
  <si>
    <t>п. Громыки, пер. Клубный, д. 5</t>
  </si>
  <si>
    <t>г. Почеп, ул. Стародубская, д. 10</t>
  </si>
  <si>
    <t>г. Почеп, ул. Стародубская, д. 18</t>
  </si>
  <si>
    <t>г. Почеп, ул. Стародубская, д. 22</t>
  </si>
  <si>
    <t>1941</t>
  </si>
  <si>
    <t>г. Почеп, ул. Войсковая, д. 5</t>
  </si>
  <si>
    <t>г. Почеп, ул. Мглинская, д. 7</t>
  </si>
  <si>
    <t>г. Почеп, ул. Мглинская, д. 35</t>
  </si>
  <si>
    <t>г. Почеп, ул. Мглинская, д. 35Б</t>
  </si>
  <si>
    <t>г. Почеп, ул. Стародубская, д. 3</t>
  </si>
  <si>
    <t>п. Рогнедино, ул. Первомайская, д. 9</t>
  </si>
  <si>
    <t>г. Севск, ул. Ленина, д. 84</t>
  </si>
  <si>
    <t>п. Суземка, ул. Первомайская, д. 8</t>
  </si>
  <si>
    <t>п. Суземка, пер. Строителей, д. 3</t>
  </si>
  <si>
    <t>п. Кокоревка, ул. Ленина, д. 13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</si>
  <si>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</si>
  <si>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</si>
  <si>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</si>
  <si>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</si>
  <si>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</si>
  <si>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г. Трубчевск, ул. Андреева, д. 3</t>
  </si>
  <si>
    <t>г. Трубчевск, ул. Андреева, д. 9</t>
  </si>
  <si>
    <t>г. Трубчевск, ул. Брянская, д. 66</t>
  </si>
  <si>
    <t>г. Трубчевск, ул. Брянская, д. 96</t>
  </si>
  <si>
    <t>г. Трубчевск, ул. Набережная, д. 14</t>
  </si>
  <si>
    <t>г. Трубчевск, ул. Полевая, д. 26</t>
  </si>
  <si>
    <t>г. Трубчевск, ул. Урицкого, д. 27</t>
  </si>
  <si>
    <t>г. Трубчевск, ул. 3 Интернационала, д. 93</t>
  </si>
  <si>
    <t>г. Трубчевск, ул. 3 Интернационала, д. 132</t>
  </si>
  <si>
    <t>г. Трубчевск, ул. Ветеранов, д. 1</t>
  </si>
  <si>
    <t>г. Трубчевск, ул. Урицкого, д. 29</t>
  </si>
  <si>
    <t>г. Трубчевск, ул. Урицкого, д. 33</t>
  </si>
  <si>
    <t>пгт. Белая Березка, ул. Ленина, д. 9</t>
  </si>
  <si>
    <t>1948</t>
  </si>
  <si>
    <t>г. Унеча, ул. 23 Сентября, д. 2</t>
  </si>
  <si>
    <t>г. Унеча, ул. 23 Сентября, д. 4</t>
  </si>
  <si>
    <t>г. Унеча, ул. Иванова, д. 25</t>
  </si>
  <si>
    <t>г. Унеча, ул. Кирова, д. 2</t>
  </si>
  <si>
    <t>г. Унеча, ул. Крупской, д. 44</t>
  </si>
  <si>
    <t>г. Унеча, ул. Ленина, д. 2</t>
  </si>
  <si>
    <t>г. Унеча, ул. Ленина, д. 3</t>
  </si>
  <si>
    <t>г. Унеча, ул. Луначарского, д. 52</t>
  </si>
  <si>
    <t>г. Унеча, ул. Советская, д. 13</t>
  </si>
  <si>
    <t>г. Унеча, ул. Горького, д. 2</t>
  </si>
  <si>
    <t>г. Унеча, ул. Горького, д. 4</t>
  </si>
  <si>
    <t>г. Унеча, ул. Горького, д. 4А</t>
  </si>
  <si>
    <t>г. Унеча, ул. Горького, д. 8</t>
  </si>
  <si>
    <t>г. Унеча, ул. Горького, д. 10</t>
  </si>
  <si>
    <t>г. Унеча, ул. Горького, д. 12</t>
  </si>
  <si>
    <t>г. Унеча, ул. Комсомольская, д. 10А</t>
  </si>
  <si>
    <t>г. Унеча, ул. Ленина, д. 19</t>
  </si>
  <si>
    <t>пгт. Белая Березка, ул. Ленина, д. 18</t>
  </si>
  <si>
    <t>пгт. Белая Березка, ул. Ленина, д. 26</t>
  </si>
  <si>
    <t>пгт. Белая Березка, ул. Чапаева, д. 6</t>
  </si>
  <si>
    <t>д. Городцы, ул. Новый Микрорайон, д. 2</t>
  </si>
  <si>
    <t>с. Высокое, ул. Дружбы, д. 1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</si>
  <si>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</si>
  <si>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</si>
  <si>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</si>
  <si>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>Лифт</t>
  </si>
  <si>
    <t>ИС</t>
  </si>
  <si>
    <t>Фасад</t>
  </si>
  <si>
    <t>ПК уточнить</t>
  </si>
  <si>
    <t>СК уточнить</t>
  </si>
  <si>
    <t>ИС и ПУ</t>
  </si>
  <si>
    <t>ПЕРЕУС</t>
  </si>
  <si>
    <t>Итого по муниципальному образованию  "Алешинское сельское поселение" Дубровского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</si>
  <si>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</si>
  <si>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г. Стародуб, ул Восточная, д. 7</t>
  </si>
  <si>
    <t>г. Стародуб, ул Краснооктябрьская, д. 62</t>
  </si>
  <si>
    <t>г. Стародуб, ул Карла Маркса, д. 90</t>
  </si>
  <si>
    <t>г. Стародуб, пл Красноармейская, д. 18</t>
  </si>
  <si>
    <t>г. Стародуб, ул Краснооктябрьская, д. 42</t>
  </si>
  <si>
    <t>г. Новозыбков, ул Вокзальная, д. 54</t>
  </si>
  <si>
    <t>Итого по Брянской области 2017-2019 гг.</t>
  </si>
  <si>
    <t>Итого по Брянской области 2017 год</t>
  </si>
  <si>
    <t xml:space="preserve"> </t>
  </si>
  <si>
    <t>Итого по Брянской области 2018 год</t>
  </si>
  <si>
    <t>Итого по Брянской области 2019 год</t>
  </si>
  <si>
    <t>Муниципальное образование   "Жуковское городское поселение" Жуковского муниципального района</t>
  </si>
  <si>
    <t>2017 год</t>
  </si>
  <si>
    <t>2019 год</t>
  </si>
  <si>
    <t> 15</t>
  </si>
  <si>
    <t>п. Навля, пер. Мелиораторов, д. 2</t>
  </si>
  <si>
    <t>п. Навля, пер. Мелиораторов, д. 48</t>
  </si>
  <si>
    <t>Муниципальное образование "Навлинское городское поселение" Навлинского района</t>
  </si>
  <si>
    <t>Итого по Муниципальному образованию: "Навлинское городское поселение" Навлинского муниципального района</t>
  </si>
  <si>
    <t>п. Навля, ул. Генерала Петренко, д. 10</t>
  </si>
  <si>
    <t>г. Брянск, ул Донбасская, д. 61</t>
  </si>
  <si>
    <t>г. Клинцы, ул. Гагарина, д.74</t>
  </si>
  <si>
    <t>№ п/п</t>
  </si>
  <si>
    <t>Всего: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</si>
  <si>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</si>
  <si>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</si>
  <si>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2017 г.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</si>
  <si>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</si>
  <si>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 "Городской  округ "город Стародуб"</t>
  </si>
  <si>
    <t>2018 год</t>
  </si>
  <si>
    <t>г. Брянск, ул. Новозыбковская, д. 17а</t>
  </si>
  <si>
    <t>г. Брянск, ул. Котовского, д. 8</t>
  </si>
  <si>
    <t>г. Брянск, пр-кт  Ленина д. 24</t>
  </si>
  <si>
    <t>г. Брянск, пр-кт  Ленина д. 57</t>
  </si>
  <si>
    <t>г. Клинцы, ул. Декабристов, д.27 Б</t>
  </si>
  <si>
    <t>г. Брянск, ул. Есенина, д. 6</t>
  </si>
  <si>
    <t>г. Брянск, ул. Ульянова, д. 126</t>
  </si>
  <si>
    <t>г. Новозыбков, ул Полевая, д. 1Д</t>
  </si>
  <si>
    <t>г. Унеча, ул. Советская, д. 11</t>
  </si>
  <si>
    <t>Муниципальное образование "Рогнединское городское поселение" Рогнединского муниципального района</t>
  </si>
  <si>
    <t>Итого по муниципальному образованию "Рогнединское городское поселение" Рогнединского муниципального района</t>
  </si>
  <si>
    <t>г. Клинцы, пер Богунского Полка, д. 22</t>
  </si>
  <si>
    <t>г. Клинцы, ул Мира, д. 46</t>
  </si>
  <si>
    <t>г. Брянск, ул Маяковского, д. 1Б</t>
  </si>
  <si>
    <t>г. Брянск, ул 22 съезда КПСС, д. 31</t>
  </si>
  <si>
    <t>г. Брянск, ул 22 съезда КПСС, д. 15</t>
  </si>
  <si>
    <t>г. Стародуб, ул Урицкого, д. 23</t>
  </si>
  <si>
    <t>с. Меленск, ул. Комсомольская, д. 23</t>
  </si>
  <si>
    <t>Муниципальное образование "Севский муниципальный район"</t>
  </si>
  <si>
    <t>Итого по муниципальному образованию "Севский муниципальный район"</t>
  </si>
  <si>
    <t>Муниципальное образование "Мглинский муниципальный район"</t>
  </si>
  <si>
    <t>Итого по муниципальному образованию "Мглинский муниципальный район"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</si>
  <si>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</si>
  <si>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</si>
  <si>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</si>
  <si>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г. Брянск, ул. Ромашина, д. 38/1</t>
  </si>
  <si>
    <t>г. Брянск, ул. Пролетарская, д. 52</t>
  </si>
  <si>
    <t>г. Брянск, ул. Спартаковская, д. 120А</t>
  </si>
  <si>
    <t>г. Дятьково, мкр. 12-й, д. 6А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</si>
  <si>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</si>
  <si>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</si>
  <si>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образованию: "Кокоревское городское поселение" Суземского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</si>
  <si>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</si>
  <si>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Итого по муниципальному образованию "Березинское сельское поселение" Дятьковского муниципального района"</t>
  </si>
  <si>
    <t>г. Брянск, ул Ромашина, д. 38</t>
  </si>
  <si>
    <t>г. Брянск, ул Ромашина, д. 34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</si>
  <si>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</si>
  <si>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</si>
  <si>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Клинцовская, д. 67/58</t>
  </si>
  <si>
    <t>г. Брянск, ул. Репина, д. 16А</t>
  </si>
  <si>
    <t>г. Брянск, ул. Октябрьская, д. 83</t>
  </si>
  <si>
    <t>г. Брянск, ул Горбатова, д. 4</t>
  </si>
  <si>
    <t>г. Брянск, ул Димитрова, д. 47</t>
  </si>
  <si>
    <t>г. Брянск, ул Димитрова, д. 81</t>
  </si>
  <si>
    <t>г. Брянск, ул Дружбы, д. 22</t>
  </si>
  <si>
    <t>г. Брянск, ул Дружбы, д. 32</t>
  </si>
  <si>
    <t>г. Брянск, ул. Костычева, д. 41/2</t>
  </si>
  <si>
    <t>г. Брянск, ул. Молодой Гвардии, д. 88</t>
  </si>
  <si>
    <t>г. Брянск, ул. Медведева, д. 71</t>
  </si>
  <si>
    <t>г. Брянск, ул. Камозина д. 30</t>
  </si>
  <si>
    <t>г. Брянск, пер. Пилотов д. 16</t>
  </si>
  <si>
    <t>г. Брянск, ул. Вокзальная, д. 170</t>
  </si>
  <si>
    <t>г. Брянск, ул. Вокзальная, д. 158</t>
  </si>
  <si>
    <t>г. Брянск, ул. Ново-Советская, д. 117А</t>
  </si>
  <si>
    <t>г. Брянск, ул. Харьковская, д. 3А</t>
  </si>
  <si>
    <t>1990-1994</t>
  </si>
  <si>
    <t>кирптчные</t>
  </si>
  <si>
    <t>г. Новозыбков, ул. Садовая, д. 61</t>
  </si>
  <si>
    <t>г. Брянск, пр-т Станке Димитрова д.  13А</t>
  </si>
  <si>
    <t>г. Брянск, ул. Маяковского, д. 1А</t>
  </si>
  <si>
    <t>г. Брянск, ул. Куйбышева, д. 103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</si>
  <si>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</si>
  <si>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</si>
  <si>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</si>
  <si>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</si>
  <si>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</si>
  <si>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</si>
  <si>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</si>
  <si>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</si>
  <si>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</si>
  <si>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</si>
  <si>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Предельная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</si>
  <si>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</si>
  <si>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</si>
  <si>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</si>
  <si>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</si>
  <si>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</si>
  <si>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</si>
  <si>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</si>
  <si>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</si>
  <si>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руб./кв. м</t>
  </si>
  <si>
    <t>руб./п.м</t>
  </si>
  <si>
    <t>(руб./лифт)</t>
  </si>
  <si>
    <t>Наименование муниципального образования</t>
  </si>
  <si>
    <t xml:space="preserve">Итого по Брянской области 2018 - 2019 гг </t>
  </si>
  <si>
    <t>Итого по муниципальному образованию  "Гордеевское сельское поселение" Гордеевского муниципального района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</si>
  <si>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</si>
  <si>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</si>
  <si>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</si>
  <si>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</si>
  <si>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</si>
  <si>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г. Брянск, ул. Харьковская, д. 17</t>
  </si>
  <si>
    <t xml:space="preserve">- </t>
  </si>
  <si>
    <t>г. Брянск, ул. Фокина, д. 37</t>
  </si>
  <si>
    <t>г. Брянск, ул. Камозина, д. 43</t>
  </si>
  <si>
    <t>2019 г.</t>
  </si>
  <si>
    <t>2018 г.</t>
  </si>
  <si>
    <t>железобетонные    с металлическим каркасом</t>
  </si>
  <si>
    <t>г. Брянск, ул. Ленинградская, д. 5</t>
  </si>
  <si>
    <t>Итого по Брянской области (2017-2019 гг.)</t>
  </si>
  <si>
    <t>г. Брянск, ул. Орловская д. 13</t>
  </si>
  <si>
    <t>Тип кровли (ПК - плоская; СК - скатная)</t>
  </si>
  <si>
    <t xml:space="preserve">г. Брянск, проезд Федюнинского, д. 18 </t>
  </si>
  <si>
    <t>г. Новозыбков, пер. Замишевский, д. 47</t>
  </si>
  <si>
    <t>г. Клинцы, ул. Орджоникидзе, д. 2 В</t>
  </si>
  <si>
    <t>г. Клинцы, ул. Союзная, д. 97 В</t>
  </si>
  <si>
    <t>г. Брянск, ул. Калинина, д. 105</t>
  </si>
  <si>
    <t>г. Брянск, ул. Калинина, д. 107</t>
  </si>
  <si>
    <t xml:space="preserve">г. Брянск, ул. Камозина, д. 46 </t>
  </si>
  <si>
    <t>перейдет на спецсчет с 24.11.2018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</si>
  <si>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</si>
  <si>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</si>
  <si>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</si>
  <si>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</si>
  <si>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</si>
  <si>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</si>
  <si>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Орловская, д. 26</t>
  </si>
  <si>
    <t xml:space="preserve">Перечень многоквартирных домов Брянской области, включенных в краткосрочный план (этап 2018-2019 годов),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</si>
  <si>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2017 года)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</si>
  <si>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2018-2019 годов)</t>
  </si>
  <si>
    <t xml:space="preserve"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 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</si>
  <si>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</si>
  <si>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2018-2019 годов)</t>
  </si>
  <si>
    <t xml:space="preserve">              Приложение 1                                                                                                 </t>
  </si>
  <si>
    <t>(Приложение №1 к  краткосрочному (2017-2019 год) плану реализации региональной  программы  "Проведение  капитального ремонта  многоквартирных домов на  территории Брянской  области " (2014-2043 годы)" на  территории  муниципального образования "Белоберезковское городское поселение", утвержденному постановлением Белоберезковской поселковой администрацией от 05.03.2018 г. № 29)</t>
  </si>
  <si>
    <t xml:space="preserve">              Приложение 2                                                                                                                                                                                     </t>
  </si>
  <si>
    <t>х</t>
  </si>
  <si>
    <t>(Приложение №2 к  краткосрочному (2017-2019 год) плану  реализации региональной программы "Проведение  капитального ремонта общего  имущества многоквартирных домов на  территории  Брянской  области " (2014-2043 годы)" на  территории муниципального образования "Белоберезковское городское поселение", утвержденному постановлением Белоберезковской поселковой администрацией от 05.03.2018г. № 29)</t>
  </si>
  <si>
    <t>Итого 2018</t>
  </si>
  <si>
    <t xml:space="preserve">              Приложение 3                                                                                                 </t>
  </si>
  <si>
    <t>(Приложение № 3 к краткосрочному (2017-2019 год)  плану реализации  региональной  программы "Проведение  капитального ремонта общего  имущества  многоквартирных домов на  территории Брянской  области" (2014-2043 годы)" на  территории  муниципального образования "Белоберезковское городское поселение", утвержденному постановлением Белоберезковской поселковой администрацией от 05.03.2018г. № 29)</t>
  </si>
  <si>
    <t xml:space="preserve">Приложение 1.1                                                                                                 </t>
  </si>
  <si>
    <t xml:space="preserve">              Приложение 2.1                                                                                                 </t>
  </si>
  <si>
    <t xml:space="preserve"> Приложение 3.1                                                                                                 </t>
  </si>
  <si>
    <t>Итого 2018 г.</t>
  </si>
  <si>
    <t>Итого 2019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</si>
</sst>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_ ;[Red]\-#,##0.00\ "/>
    <numFmt numFmtId="166" formatCode="#,##0.00&quot;р.&quot;"/>
  </numFmts>
  <fonts count="82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10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indexed="18"/>
      <name val="Arial Narrow"/>
      <family val="2"/>
      <charset val="204"/>
    </font>
    <font>
      <b/>
      <sz val="7"/>
      <color indexed="10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5">
    <xf numFmtId="0" fontId="0" fillId="0" borderId="0" applyNumberFormat="0" applyBorder="0" applyProtection="0">
      <alignment horizontal="left" vertical="center" wrapText="1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Protection="0">
      <alignment horizontal="left" vertical="center" wrapText="1"/>
    </xf>
    <xf numFmtId="0" fontId="5" fillId="9" borderId="0" applyNumberFormat="0" applyBorder="0" applyProtection="0">
      <alignment horizontal="left" vertical="center" wrapText="1"/>
    </xf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3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Protection="0">
      <alignment horizontal="left" vertical="center" wrapText="1"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Protection="0">
      <alignment horizontal="left" vertical="center" wrapText="1"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Protection="0">
      <alignment horizontal="left" vertical="center" wrapText="1"/>
    </xf>
    <xf numFmtId="0" fontId="5" fillId="22" borderId="0" applyNumberFormat="0" applyBorder="0" applyProtection="0">
      <alignment horizontal="left" vertical="center" wrapText="1"/>
    </xf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Protection="0">
      <alignment horizontal="left" vertical="center" wrapText="1"/>
    </xf>
    <xf numFmtId="0" fontId="5" fillId="17" borderId="0" applyNumberFormat="0" applyBorder="0" applyProtection="0">
      <alignment horizontal="left" vertical="center" wrapText="1"/>
    </xf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Protection="0">
      <alignment horizontal="left" vertical="center" wrapText="1"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Protection="0">
      <alignment horizontal="left" vertical="center" wrapText="1"/>
    </xf>
    <xf numFmtId="0" fontId="5" fillId="6" borderId="0" applyNumberFormat="0" applyBorder="0" applyProtection="0">
      <alignment horizontal="left" vertical="center" wrapText="1"/>
    </xf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8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2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6" fillId="17" borderId="0" applyNumberFormat="0" applyBorder="0" applyAlignment="0" applyProtection="0"/>
    <xf numFmtId="0" fontId="6" fillId="30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30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6" fillId="27" borderId="0" applyNumberFormat="0" applyBorder="0" applyProtection="0">
      <alignment horizontal="left" vertical="center" wrapText="1"/>
    </xf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6" fillId="6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6" fillId="6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6" fillId="6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33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5" fillId="0" borderId="0"/>
    <xf numFmtId="0" fontId="41" fillId="0" borderId="0"/>
    <xf numFmtId="0" fontId="6" fillId="34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6" fillId="27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6" fillId="35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6" fillId="36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6" fillId="37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6" fillId="3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6" fillId="2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6" fillId="3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6" fillId="3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6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6" fillId="40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6" fillId="4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7" fillId="15" borderId="1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7" fillId="6" borderId="1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47" fillId="72" borderId="23" applyNumberFormat="0" applyAlignment="0" applyProtection="0"/>
    <xf numFmtId="0" fontId="8" fillId="42" borderId="2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8" fillId="43" borderId="2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8" fillId="42" borderId="2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48" fillId="73" borderId="24" applyNumberFormat="0" applyAlignment="0" applyProtection="0"/>
    <xf numFmtId="0" fontId="9" fillId="42" borderId="1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9" fillId="43" borderId="1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9" fillId="42" borderId="1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49" fillId="73" borderId="23" applyNumberFormat="0" applyAlignment="0" applyProtection="0"/>
    <xf numFmtId="0" fontId="10" fillId="0" borderId="3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10" fillId="0" borderId="3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11" fillId="0" borderId="4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11" fillId="0" borderId="4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12" fillId="0" borderId="5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12" fillId="0" borderId="5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13" fillId="0" borderId="6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53" fillId="0" borderId="28" applyNumberFormat="0" applyFill="0" applyAlignment="0" applyProtection="0"/>
    <xf numFmtId="0" fontId="14" fillId="44" borderId="7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14" fillId="45" borderId="7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54" fillId="74" borderId="29" applyNumberFormat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16" fillId="22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" fillId="0" borderId="0"/>
    <xf numFmtId="0" fontId="5" fillId="0" borderId="0"/>
    <xf numFmtId="0" fontId="17" fillId="0" borderId="0"/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17" fillId="0" borderId="0"/>
    <xf numFmtId="0" fontId="1" fillId="0" borderId="0"/>
    <xf numFmtId="0" fontId="5" fillId="0" borderId="0"/>
    <xf numFmtId="0" fontId="1" fillId="0" borderId="0"/>
    <xf numFmtId="0" fontId="30" fillId="0" borderId="0"/>
    <xf numFmtId="0" fontId="1" fillId="0" borderId="0"/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1" fillId="0" borderId="0"/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1" fillId="0" borderId="0"/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44" fillId="0" borderId="0" applyNumberFormat="0" applyBorder="0" applyProtection="0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9" fillId="0" borderId="0" applyNumberFormat="0" applyBorder="0" applyProtection="0">
      <alignment horizontal="left" vertical="center" wrapText="1"/>
    </xf>
    <xf numFmtId="0" fontId="5" fillId="0" borderId="0"/>
    <xf numFmtId="0" fontId="5" fillId="0" borderId="0"/>
    <xf numFmtId="0" fontId="33" fillId="0" borderId="0">
      <alignment horizontal="left"/>
    </xf>
    <xf numFmtId="0" fontId="34" fillId="0" borderId="0"/>
    <xf numFmtId="0" fontId="5" fillId="0" borderId="0"/>
    <xf numFmtId="0" fontId="38" fillId="0" borderId="0"/>
    <xf numFmtId="0" fontId="24" fillId="0" borderId="0">
      <alignment horizontal="left" vertical="center" wrapText="1"/>
    </xf>
    <xf numFmtId="0" fontId="5" fillId="0" borderId="0"/>
    <xf numFmtId="0" fontId="38" fillId="0" borderId="0"/>
    <xf numFmtId="0" fontId="24" fillId="0" borderId="0">
      <alignment horizontal="left" vertical="center" wrapText="1"/>
    </xf>
    <xf numFmtId="0" fontId="18" fillId="5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18" fillId="7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47" borderId="8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5" fillId="47" borderId="8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5" fillId="47" borderId="8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0" fontId="45" fillId="77" borderId="30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0" fillId="0" borderId="9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20" fillId="0" borderId="9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32" fillId="0" borderId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2" fillId="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22" fillId="10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0" fontId="61" fillId="78" borderId="0" applyNumberFormat="0" applyBorder="0" applyAlignment="0" applyProtection="0"/>
    <xf numFmtId="43" fontId="67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4" fillId="0" borderId="0">
      <alignment horizontal="right" vertical="top" wrapText="1"/>
    </xf>
    <xf numFmtId="0" fontId="1" fillId="0" borderId="0"/>
  </cellStyleXfs>
  <cellXfs count="688">
    <xf numFmtId="0" fontId="0" fillId="0" borderId="0" xfId="0">
      <alignment horizontal="left" vertical="center" wrapText="1"/>
    </xf>
    <xf numFmtId="0" fontId="4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42" applyNumberFormat="1" applyFont="1" applyFill="1" applyBorder="1" applyAlignment="1">
      <alignment horizontal="center" vertical="center" wrapText="1"/>
    </xf>
    <xf numFmtId="4" fontId="3" fillId="0" borderId="10" xfId="2143" applyNumberFormat="1" applyFont="1" applyFill="1" applyBorder="1" applyAlignment="1">
      <alignment horizontal="center" vertical="center" wrapText="1"/>
    </xf>
    <xf numFmtId="4" fontId="3" fillId="0" borderId="10" xfId="213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2" fontId="3" fillId="0" borderId="10" xfId="2142" applyNumberFormat="1" applyFont="1" applyFill="1" applyBorder="1" applyAlignment="1">
      <alignment horizontal="center" vertical="center" wrapText="1"/>
    </xf>
    <xf numFmtId="2" fontId="23" fillId="0" borderId="10" xfId="2142" applyNumberFormat="1" applyFont="1" applyFill="1" applyBorder="1" applyAlignment="1">
      <alignment horizontal="center" vertical="center" wrapText="1"/>
    </xf>
    <xf numFmtId="4" fontId="3" fillId="0" borderId="10" xfId="2144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2" fillId="0" borderId="0" xfId="0" applyFont="1" applyFill="1">
      <alignment horizontal="left" vertical="center" wrapText="1"/>
    </xf>
    <xf numFmtId="0" fontId="62" fillId="0" borderId="0" xfId="0" applyFont="1" applyFill="1" applyAlignment="1">
      <alignment vertical="center" wrapText="1"/>
    </xf>
    <xf numFmtId="164" fontId="62" fillId="0" borderId="0" xfId="0" applyNumberFormat="1" applyFont="1" applyFill="1" applyAlignment="1">
      <alignment horizontal="center" vertical="center" wrapText="1"/>
    </xf>
    <xf numFmtId="49" fontId="62" fillId="0" borderId="0" xfId="0" applyNumberFormat="1" applyFont="1" applyFill="1" applyAlignment="1">
      <alignment horizontal="center" vertical="center" wrapText="1"/>
    </xf>
    <xf numFmtId="164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center" vertical="center"/>
    </xf>
    <xf numFmtId="166" fontId="62" fillId="0" borderId="0" xfId="0" applyNumberFormat="1" applyFont="1" applyFill="1">
      <alignment horizontal="left" vertical="center" wrapText="1"/>
    </xf>
    <xf numFmtId="0" fontId="62" fillId="0" borderId="10" xfId="0" applyFont="1" applyFill="1" applyBorder="1" applyAlignment="1">
      <alignment vertical="center"/>
    </xf>
    <xf numFmtId="0" fontId="62" fillId="0" borderId="14" xfId="0" applyFont="1" applyFill="1" applyBorder="1" applyAlignment="1">
      <alignment horizontal="left" vertical="center"/>
    </xf>
    <xf numFmtId="1" fontId="62" fillId="0" borderId="14" xfId="2137" applyNumberFormat="1" applyFont="1" applyFill="1" applyBorder="1" applyAlignment="1">
      <alignment horizontal="center" vertical="center"/>
    </xf>
    <xf numFmtId="1" fontId="62" fillId="0" borderId="10" xfId="2137" applyNumberFormat="1" applyFont="1" applyFill="1" applyBorder="1" applyAlignment="1">
      <alignment horizontal="center" vertical="center"/>
    </xf>
    <xf numFmtId="0" fontId="62" fillId="0" borderId="11" xfId="2137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4" fontId="62" fillId="0" borderId="15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Alignment="1">
      <alignment horizontal="center" vertical="center" wrapText="1"/>
    </xf>
    <xf numFmtId="0" fontId="62" fillId="0" borderId="10" xfId="2137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/>
    </xf>
    <xf numFmtId="0" fontId="62" fillId="0" borderId="14" xfId="2138" applyFont="1" applyFill="1" applyBorder="1" applyAlignment="1">
      <alignment horizontal="center" vertical="center"/>
    </xf>
    <xf numFmtId="0" fontId="62" fillId="0" borderId="11" xfId="2138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0" xfId="0" applyFont="1" applyFill="1" applyBorder="1">
      <alignment horizontal="left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>
      <alignment horizontal="left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 wrapText="1"/>
    </xf>
    <xf numFmtId="4" fontId="62" fillId="0" borderId="12" xfId="0" applyNumberFormat="1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left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0" xfId="2139" applyFont="1" applyFill="1" applyBorder="1" applyAlignment="1">
      <alignment horizontal="center" vertical="center" wrapText="1"/>
    </xf>
    <xf numFmtId="4" fontId="62" fillId="0" borderId="10" xfId="2139" applyNumberFormat="1" applyFont="1" applyFill="1" applyBorder="1" applyAlignment="1">
      <alignment horizontal="center" vertical="center" wrapText="1"/>
    </xf>
    <xf numFmtId="3" fontId="62" fillId="0" borderId="10" xfId="2139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0" fontId="62" fillId="0" borderId="10" xfId="2139" applyFont="1" applyFill="1" applyBorder="1" applyAlignment="1">
      <alignment vertical="center" wrapText="1"/>
    </xf>
    <xf numFmtId="0" fontId="62" fillId="0" borderId="0" xfId="0" applyFont="1" applyFill="1" applyAlignment="1">
      <alignment horizontal="left" vertical="center" wrapText="1"/>
    </xf>
    <xf numFmtId="0" fontId="62" fillId="0" borderId="12" xfId="2139" applyFont="1" applyFill="1" applyBorder="1" applyAlignment="1">
      <alignment horizontal="center" vertical="center" wrapText="1"/>
    </xf>
    <xf numFmtId="4" fontId="62" fillId="0" borderId="12" xfId="2139" applyNumberFormat="1" applyFont="1" applyFill="1" applyBorder="1" applyAlignment="1">
      <alignment horizontal="center" vertical="center" wrapText="1"/>
    </xf>
    <xf numFmtId="49" fontId="62" fillId="0" borderId="10" xfId="2139" applyNumberFormat="1" applyFont="1" applyFill="1" applyBorder="1" applyAlignment="1">
      <alignment horizontal="center" vertical="center" wrapText="1"/>
    </xf>
    <xf numFmtId="4" fontId="62" fillId="0" borderId="18" xfId="0" applyNumberFormat="1" applyFont="1" applyFill="1" applyBorder="1" applyAlignment="1">
      <alignment horizontal="center" vertical="center" wrapText="1"/>
    </xf>
    <xf numFmtId="49" fontId="62" fillId="0" borderId="18" xfId="2139" applyNumberFormat="1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0" fontId="62" fillId="0" borderId="10" xfId="2140" applyFont="1" applyFill="1" applyBorder="1" applyAlignment="1">
      <alignment horizontal="center" vertical="center" wrapText="1"/>
    </xf>
    <xf numFmtId="0" fontId="62" fillId="0" borderId="10" xfId="2140" applyFont="1" applyFill="1" applyBorder="1" applyAlignment="1">
      <alignment vertical="center" wrapText="1"/>
    </xf>
    <xf numFmtId="4" fontId="62" fillId="0" borderId="10" xfId="2140" applyNumberFormat="1" applyFont="1" applyFill="1" applyBorder="1" applyAlignment="1">
      <alignment horizontal="center" vertical="center" wrapText="1"/>
    </xf>
    <xf numFmtId="0" fontId="62" fillId="0" borderId="10" xfId="2140" applyNumberFormat="1" applyFont="1" applyFill="1" applyBorder="1" applyAlignment="1">
      <alignment horizontal="center" vertical="center" wrapText="1"/>
    </xf>
    <xf numFmtId="49" fontId="62" fillId="0" borderId="10" xfId="2140" applyNumberFormat="1" applyFont="1" applyFill="1" applyBorder="1" applyAlignment="1">
      <alignment horizontal="center" vertical="center" wrapText="1"/>
    </xf>
    <xf numFmtId="2" fontId="62" fillId="0" borderId="10" xfId="2140" applyNumberFormat="1" applyFont="1" applyFill="1" applyBorder="1" applyAlignment="1">
      <alignment horizontal="center" vertical="center" wrapText="1"/>
    </xf>
    <xf numFmtId="0" fontId="62" fillId="0" borderId="10" xfId="2132" applyFont="1" applyFill="1" applyBorder="1" applyAlignment="1">
      <alignment horizontal="center" vertical="center" wrapText="1"/>
    </xf>
    <xf numFmtId="0" fontId="62" fillId="0" borderId="10" xfId="2132" applyFont="1" applyFill="1" applyBorder="1" applyAlignment="1">
      <alignment vertical="center" wrapText="1"/>
    </xf>
    <xf numFmtId="0" fontId="62" fillId="0" borderId="10" xfId="2133" applyFont="1" applyFill="1" applyBorder="1" applyAlignment="1">
      <alignment horizontal="center" vertical="center" wrapText="1"/>
    </xf>
    <xf numFmtId="4" fontId="62" fillId="0" borderId="10" xfId="2133" applyNumberFormat="1" applyFont="1" applyFill="1" applyBorder="1" applyAlignment="1">
      <alignment horizontal="center" vertical="center" wrapText="1"/>
    </xf>
    <xf numFmtId="49" fontId="62" fillId="0" borderId="10" xfId="2132" applyNumberFormat="1" applyFont="1" applyFill="1" applyBorder="1" applyAlignment="1">
      <alignment horizontal="center" vertical="center" wrapText="1"/>
    </xf>
    <xf numFmtId="4" fontId="62" fillId="0" borderId="10" xfId="2132" applyNumberFormat="1" applyFont="1" applyFill="1" applyBorder="1" applyAlignment="1">
      <alignment horizontal="center" vertical="center" wrapText="1"/>
    </xf>
    <xf numFmtId="0" fontId="62" fillId="0" borderId="10" xfId="2139" applyNumberFormat="1" applyFont="1" applyFill="1" applyBorder="1" applyAlignment="1">
      <alignment horizontal="center" vertical="center" wrapText="1"/>
    </xf>
    <xf numFmtId="0" fontId="62" fillId="0" borderId="10" xfId="2141" applyFont="1" applyFill="1" applyBorder="1" applyAlignment="1">
      <alignment horizontal="center" vertical="center" wrapText="1"/>
    </xf>
    <xf numFmtId="0" fontId="62" fillId="0" borderId="10" xfId="2141" applyFont="1" applyFill="1" applyBorder="1" applyAlignment="1">
      <alignment vertical="center" wrapText="1"/>
    </xf>
    <xf numFmtId="4" fontId="62" fillId="0" borderId="34" xfId="2141" applyNumberFormat="1" applyFont="1" applyFill="1" applyBorder="1" applyAlignment="1">
      <alignment horizontal="center" vertical="center" wrapText="1"/>
    </xf>
    <xf numFmtId="0" fontId="62" fillId="0" borderId="34" xfId="2141" applyFont="1" applyFill="1" applyBorder="1" applyAlignment="1">
      <alignment horizontal="center" vertical="center" wrapText="1"/>
    </xf>
    <xf numFmtId="4" fontId="62" fillId="0" borderId="10" xfId="2141" applyNumberFormat="1" applyFont="1" applyFill="1" applyBorder="1" applyAlignment="1">
      <alignment horizontal="center" vertical="center" wrapText="1"/>
    </xf>
    <xf numFmtId="49" fontId="62" fillId="0" borderId="10" xfId="2141" applyNumberFormat="1" applyFont="1" applyFill="1" applyBorder="1" applyAlignment="1">
      <alignment horizontal="center" vertical="center" wrapText="1"/>
    </xf>
    <xf numFmtId="0" fontId="62" fillId="0" borderId="34" xfId="2141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2" fontId="62" fillId="0" borderId="10" xfId="2139" applyNumberFormat="1" applyFont="1" applyFill="1" applyBorder="1" applyAlignment="1">
      <alignment horizontal="center" vertical="center" wrapText="1"/>
    </xf>
    <xf numFmtId="0" fontId="62" fillId="0" borderId="10" xfId="2036" applyFont="1" applyFill="1" applyBorder="1" applyAlignment="1">
      <alignment vertical="center" wrapText="1"/>
    </xf>
    <xf numFmtId="0" fontId="62" fillId="0" borderId="10" xfId="2040" applyFont="1" applyFill="1" applyBorder="1" applyAlignment="1">
      <alignment horizontal="center" vertical="center" wrapText="1"/>
    </xf>
    <xf numFmtId="0" fontId="62" fillId="0" borderId="10" xfId="2037" applyNumberFormat="1" applyFont="1" applyFill="1" applyBorder="1" applyAlignment="1">
      <alignment horizontal="center" vertical="center" wrapText="1"/>
    </xf>
    <xf numFmtId="0" fontId="62" fillId="0" borderId="10" xfId="2041" applyFont="1" applyFill="1" applyBorder="1" applyAlignment="1">
      <alignment horizontal="center" vertical="center" wrapText="1"/>
    </xf>
    <xf numFmtId="0" fontId="62" fillId="0" borderId="10" xfId="2041" applyNumberFormat="1" applyFont="1" applyFill="1" applyBorder="1" applyAlignment="1">
      <alignment horizontal="center" vertical="center" wrapText="1"/>
    </xf>
    <xf numFmtId="4" fontId="62" fillId="0" borderId="10" xfId="2041" applyNumberFormat="1" applyFont="1" applyFill="1" applyBorder="1" applyAlignment="1">
      <alignment horizontal="center" vertical="center" wrapText="1"/>
    </xf>
    <xf numFmtId="0" fontId="62" fillId="0" borderId="10" xfId="2050" applyFont="1" applyFill="1" applyBorder="1" applyAlignment="1">
      <alignment vertical="center" wrapText="1"/>
    </xf>
    <xf numFmtId="0" fontId="62" fillId="0" borderId="10" xfId="2051" applyFont="1" applyFill="1" applyBorder="1" applyAlignment="1">
      <alignment horizontal="center" vertical="center" wrapText="1"/>
    </xf>
    <xf numFmtId="0" fontId="62" fillId="0" borderId="10" xfId="2052" applyNumberFormat="1" applyFont="1" applyFill="1" applyBorder="1" applyAlignment="1">
      <alignment horizontal="center" vertical="center" wrapText="1"/>
    </xf>
    <xf numFmtId="0" fontId="62" fillId="0" borderId="10" xfId="2053" applyFont="1" applyFill="1" applyBorder="1" applyAlignment="1">
      <alignment horizontal="center" vertical="center" wrapText="1"/>
    </xf>
    <xf numFmtId="0" fontId="62" fillId="0" borderId="10" xfId="2053" applyNumberFormat="1" applyFont="1" applyFill="1" applyBorder="1" applyAlignment="1">
      <alignment horizontal="center" vertical="center" wrapText="1"/>
    </xf>
    <xf numFmtId="4" fontId="62" fillId="0" borderId="10" xfId="2053" applyNumberFormat="1" applyFont="1" applyFill="1" applyBorder="1" applyAlignment="1">
      <alignment horizontal="center" vertical="center" wrapText="1"/>
    </xf>
    <xf numFmtId="0" fontId="62" fillId="0" borderId="10" xfId="2052" applyFont="1" applyFill="1" applyBorder="1" applyAlignment="1">
      <alignment horizontal="center" vertical="center" wrapText="1"/>
    </xf>
    <xf numFmtId="0" fontId="62" fillId="0" borderId="10" xfId="2073" applyFont="1" applyFill="1" applyBorder="1" applyAlignment="1">
      <alignment horizontal="left" vertical="center" wrapText="1"/>
    </xf>
    <xf numFmtId="0" fontId="62" fillId="0" borderId="10" xfId="2075" applyFont="1" applyFill="1" applyBorder="1" applyAlignment="1">
      <alignment horizontal="center" vertical="center" wrapText="1"/>
    </xf>
    <xf numFmtId="0" fontId="62" fillId="0" borderId="10" xfId="2074" applyFont="1" applyFill="1" applyBorder="1" applyAlignment="1">
      <alignment horizontal="center" vertical="center" wrapText="1"/>
    </xf>
    <xf numFmtId="0" fontId="62" fillId="0" borderId="10" xfId="2076" applyFont="1" applyFill="1" applyBorder="1" applyAlignment="1">
      <alignment horizontal="center" vertical="center" wrapText="1"/>
    </xf>
    <xf numFmtId="4" fontId="62" fillId="0" borderId="10" xfId="2076" applyNumberFormat="1" applyFont="1" applyFill="1" applyBorder="1" applyAlignment="1">
      <alignment horizontal="center" vertical="center" wrapText="1"/>
    </xf>
    <xf numFmtId="2" fontId="62" fillId="0" borderId="10" xfId="2132" applyNumberFormat="1" applyFont="1" applyFill="1" applyBorder="1" applyAlignment="1">
      <alignment horizontal="center" vertical="center" wrapText="1"/>
    </xf>
    <xf numFmtId="0" fontId="62" fillId="0" borderId="10" xfId="2132" applyNumberFormat="1" applyFont="1" applyFill="1" applyBorder="1" applyAlignment="1">
      <alignment horizontal="center" vertical="center" wrapText="1"/>
    </xf>
    <xf numFmtId="0" fontId="62" fillId="0" borderId="10" xfId="2141" applyNumberFormat="1" applyFont="1" applyFill="1" applyBorder="1" applyAlignment="1">
      <alignment horizontal="center" vertical="center" wrapText="1"/>
    </xf>
    <xf numFmtId="0" fontId="62" fillId="0" borderId="10" xfId="2133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3" fillId="79" borderId="10" xfId="0" applyFont="1" applyFill="1" applyBorder="1" applyAlignment="1">
      <alignment horizontal="center" vertical="center" wrapText="1"/>
    </xf>
    <xf numFmtId="0" fontId="0" fillId="79" borderId="0" xfId="0" applyFill="1">
      <alignment horizontal="left" vertical="center" wrapText="1"/>
    </xf>
    <xf numFmtId="4" fontId="62" fillId="0" borderId="22" xfId="2053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2139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2140" applyFont="1" applyFill="1" applyBorder="1" applyAlignment="1">
      <alignment horizontal="left" vertical="center" wrapText="1"/>
    </xf>
    <xf numFmtId="0" fontId="62" fillId="0" borderId="10" xfId="2139" applyFont="1" applyFill="1" applyBorder="1" applyAlignment="1">
      <alignment horizontal="left" vertical="center" wrapText="1"/>
    </xf>
    <xf numFmtId="0" fontId="62" fillId="0" borderId="10" xfId="2132" applyFont="1" applyFill="1" applyBorder="1" applyAlignment="1">
      <alignment horizontal="left" vertical="center" wrapText="1"/>
    </xf>
    <xf numFmtId="0" fontId="62" fillId="0" borderId="10" xfId="214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 shrinkToFi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2" fontId="6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horizontal="left" vertical="center" wrapText="1"/>
    </xf>
    <xf numFmtId="0" fontId="65" fillId="0" borderId="0" xfId="0" applyFont="1" applyFill="1" applyBorder="1" applyAlignment="1">
      <alignment vertical="center" wrapText="1"/>
    </xf>
    <xf numFmtId="0" fontId="62" fillId="0" borderId="0" xfId="2139" applyFont="1" applyFill="1" applyBorder="1" applyAlignment="1">
      <alignment horizontal="center" vertical="center" wrapText="1"/>
    </xf>
    <xf numFmtId="3" fontId="62" fillId="0" borderId="0" xfId="2139" applyNumberFormat="1" applyFont="1" applyFill="1" applyBorder="1" applyAlignment="1">
      <alignment horizontal="center" vertical="center" wrapText="1"/>
    </xf>
    <xf numFmtId="0" fontId="62" fillId="0" borderId="0" xfId="2140" applyFont="1" applyFill="1" applyBorder="1" applyAlignment="1">
      <alignment horizontal="center" vertical="center" wrapText="1"/>
    </xf>
    <xf numFmtId="49" fontId="62" fillId="0" borderId="0" xfId="2140" applyNumberFormat="1" applyFont="1" applyFill="1" applyBorder="1" applyAlignment="1">
      <alignment horizontal="center" vertical="center" wrapText="1"/>
    </xf>
    <xf numFmtId="2" fontId="62" fillId="0" borderId="0" xfId="2132" applyNumberFormat="1" applyFont="1" applyFill="1" applyBorder="1" applyAlignment="1">
      <alignment horizontal="center" vertical="center" wrapText="1"/>
    </xf>
    <xf numFmtId="4" fontId="62" fillId="0" borderId="0" xfId="2132" applyNumberFormat="1" applyFont="1" applyFill="1" applyBorder="1" applyAlignment="1">
      <alignment horizontal="center" vertical="center" wrapText="1"/>
    </xf>
    <xf numFmtId="49" fontId="62" fillId="0" borderId="0" xfId="2132" applyNumberFormat="1" applyFont="1" applyFill="1" applyBorder="1" applyAlignment="1">
      <alignment horizontal="center" vertical="center" wrapText="1"/>
    </xf>
    <xf numFmtId="0" fontId="62" fillId="0" borderId="0" xfId="2141" applyFont="1" applyFill="1" applyBorder="1" applyAlignment="1">
      <alignment horizontal="center" vertical="center" wrapText="1"/>
    </xf>
    <xf numFmtId="49" fontId="62" fillId="0" borderId="0" xfId="2141" applyNumberFormat="1" applyFont="1" applyFill="1" applyBorder="1" applyAlignment="1">
      <alignment horizontal="center" vertical="center" wrapText="1"/>
    </xf>
    <xf numFmtId="49" fontId="62" fillId="0" borderId="0" xfId="2139" applyNumberFormat="1" applyFont="1" applyFill="1" applyBorder="1" applyAlignment="1">
      <alignment horizontal="center" vertical="center" wrapText="1"/>
    </xf>
    <xf numFmtId="0" fontId="62" fillId="0" borderId="10" xfId="2054" applyFont="1" applyFill="1" applyBorder="1" applyAlignment="1">
      <alignment horizontal="left" vertical="center" wrapText="1"/>
    </xf>
    <xf numFmtId="0" fontId="62" fillId="0" borderId="10" xfId="2056" applyFont="1" applyFill="1" applyBorder="1" applyAlignment="1">
      <alignment horizontal="center" vertical="center" wrapText="1"/>
    </xf>
    <xf numFmtId="0" fontId="62" fillId="0" borderId="10" xfId="2057" applyFont="1" applyFill="1" applyBorder="1" applyAlignment="1">
      <alignment horizontal="center" vertical="center" wrapText="1"/>
    </xf>
    <xf numFmtId="0" fontId="62" fillId="0" borderId="10" xfId="2057" applyNumberFormat="1" applyFont="1" applyFill="1" applyBorder="1" applyAlignment="1">
      <alignment horizontal="center" vertical="center" wrapText="1"/>
    </xf>
    <xf numFmtId="4" fontId="62" fillId="0" borderId="10" xfId="2057" applyNumberFormat="1" applyFont="1" applyFill="1" applyBorder="1" applyAlignment="1">
      <alignment horizontal="center" vertical="center" wrapText="1"/>
    </xf>
    <xf numFmtId="0" fontId="62" fillId="0" borderId="10" xfId="2076" applyNumberFormat="1" applyFont="1" applyFill="1" applyBorder="1" applyAlignment="1">
      <alignment horizontal="center" vertical="center" wrapText="1"/>
    </xf>
    <xf numFmtId="0" fontId="62" fillId="0" borderId="10" xfId="2093" applyFont="1" applyFill="1" applyBorder="1" applyAlignment="1">
      <alignment horizontal="left" vertical="center" wrapText="1"/>
    </xf>
    <xf numFmtId="0" fontId="62" fillId="0" borderId="10" xfId="2095" applyFont="1" applyFill="1" applyBorder="1" applyAlignment="1">
      <alignment horizontal="center" vertical="center" wrapText="1"/>
    </xf>
    <xf numFmtId="0" fontId="62" fillId="0" borderId="10" xfId="2094" applyFont="1" applyFill="1" applyBorder="1" applyAlignment="1">
      <alignment horizontal="center" vertical="center" wrapText="1"/>
    </xf>
    <xf numFmtId="0" fontId="62" fillId="0" borderId="10" xfId="2096" applyFont="1" applyFill="1" applyBorder="1" applyAlignment="1">
      <alignment horizontal="center" vertical="center" wrapText="1"/>
    </xf>
    <xf numFmtId="0" fontId="62" fillId="0" borderId="10" xfId="2096" applyNumberFormat="1" applyFont="1" applyFill="1" applyBorder="1" applyAlignment="1">
      <alignment horizontal="center" vertical="center" wrapText="1"/>
    </xf>
    <xf numFmtId="4" fontId="62" fillId="0" borderId="10" xfId="2096" applyNumberFormat="1" applyFont="1" applyFill="1" applyBorder="1" applyAlignment="1">
      <alignment horizontal="center" vertical="center" wrapText="1"/>
    </xf>
    <xf numFmtId="0" fontId="62" fillId="0" borderId="10" xfId="2104" applyFont="1" applyFill="1" applyBorder="1" applyAlignment="1">
      <alignment horizontal="left" vertical="center" wrapText="1"/>
    </xf>
    <xf numFmtId="0" fontId="62" fillId="0" borderId="10" xfId="2105" applyFont="1" applyFill="1" applyBorder="1" applyAlignment="1">
      <alignment horizontal="center" vertical="center" wrapText="1"/>
    </xf>
    <xf numFmtId="0" fontId="62" fillId="0" borderId="10" xfId="2107" applyFont="1" applyFill="1" applyBorder="1" applyAlignment="1">
      <alignment horizontal="center" vertical="center" wrapText="1"/>
    </xf>
    <xf numFmtId="0" fontId="62" fillId="0" borderId="10" xfId="2107" applyNumberFormat="1" applyFont="1" applyFill="1" applyBorder="1" applyAlignment="1">
      <alignment horizontal="center" vertical="center" wrapText="1"/>
    </xf>
    <xf numFmtId="4" fontId="62" fillId="0" borderId="10" xfId="2107" applyNumberFormat="1" applyFont="1" applyFill="1" applyBorder="1" applyAlignment="1">
      <alignment horizontal="center" vertical="center" wrapText="1"/>
    </xf>
    <xf numFmtId="0" fontId="65" fillId="0" borderId="0" xfId="2139" applyFont="1" applyFill="1" applyBorder="1" applyAlignment="1">
      <alignment vertical="center" wrapText="1"/>
    </xf>
    <xf numFmtId="0" fontId="65" fillId="0" borderId="0" xfId="2140" applyFont="1" applyFill="1" applyBorder="1" applyAlignment="1">
      <alignment vertical="center" wrapText="1"/>
    </xf>
    <xf numFmtId="0" fontId="65" fillId="0" borderId="0" xfId="2141" applyFont="1" applyFill="1" applyBorder="1" applyAlignment="1">
      <alignment vertical="center" wrapText="1"/>
    </xf>
    <xf numFmtId="0" fontId="62" fillId="0" borderId="10" xfId="2077" applyFont="1" applyFill="1" applyBorder="1" applyAlignment="1">
      <alignment horizontal="left" vertical="center" wrapText="1"/>
    </xf>
    <xf numFmtId="0" fontId="62" fillId="0" borderId="10" xfId="2078" applyFont="1" applyFill="1" applyBorder="1" applyAlignment="1">
      <alignment horizontal="center" vertical="center" wrapText="1"/>
    </xf>
    <xf numFmtId="0" fontId="62" fillId="0" borderId="10" xfId="2092" applyFont="1" applyFill="1" applyBorder="1" applyAlignment="1">
      <alignment horizontal="center" vertical="center" wrapText="1"/>
    </xf>
    <xf numFmtId="0" fontId="62" fillId="0" borderId="10" xfId="2092" applyNumberFormat="1" applyFont="1" applyFill="1" applyBorder="1" applyAlignment="1">
      <alignment horizontal="center" vertical="center" wrapText="1"/>
    </xf>
    <xf numFmtId="4" fontId="62" fillId="0" borderId="10" xfId="2092" applyNumberFormat="1" applyFont="1" applyFill="1" applyBorder="1" applyAlignment="1">
      <alignment horizontal="center" vertical="center" wrapText="1"/>
    </xf>
    <xf numFmtId="0" fontId="62" fillId="0" borderId="10" xfId="2098" applyFont="1" applyFill="1" applyBorder="1" applyAlignment="1">
      <alignment horizontal="left" vertical="center" wrapText="1"/>
    </xf>
    <xf numFmtId="0" fontId="62" fillId="0" borderId="10" xfId="2100" applyFont="1" applyFill="1" applyBorder="1" applyAlignment="1">
      <alignment horizontal="center" vertical="center" wrapText="1"/>
    </xf>
    <xf numFmtId="0" fontId="62" fillId="0" borderId="10" xfId="2103" applyFont="1" applyFill="1" applyBorder="1" applyAlignment="1">
      <alignment horizontal="center" vertical="center" wrapText="1"/>
    </xf>
    <xf numFmtId="0" fontId="62" fillId="0" borderId="10" xfId="2103" applyNumberFormat="1" applyFont="1" applyFill="1" applyBorder="1" applyAlignment="1">
      <alignment horizontal="center" vertical="center" wrapText="1"/>
    </xf>
    <xf numFmtId="4" fontId="62" fillId="0" borderId="10" xfId="2103" applyNumberFormat="1" applyFont="1" applyFill="1" applyBorder="1" applyAlignment="1">
      <alignment horizontal="center" vertical="center" wrapText="1"/>
    </xf>
    <xf numFmtId="0" fontId="62" fillId="0" borderId="10" xfId="2108" applyFont="1" applyFill="1" applyBorder="1" applyAlignment="1">
      <alignment horizontal="left" vertical="center" wrapText="1"/>
    </xf>
    <xf numFmtId="0" fontId="62" fillId="0" borderId="0" xfId="2139" applyFont="1" applyFill="1" applyBorder="1" applyAlignment="1">
      <alignment vertical="center" wrapText="1"/>
    </xf>
    <xf numFmtId="0" fontId="62" fillId="0" borderId="10" xfId="2058" applyFont="1" applyFill="1" applyBorder="1" applyAlignment="1">
      <alignment horizontal="left" vertical="center" wrapText="1"/>
    </xf>
    <xf numFmtId="0" fontId="62" fillId="0" borderId="10" xfId="2071" applyFont="1" applyFill="1" applyBorder="1" applyAlignment="1">
      <alignment horizontal="center" vertical="center" wrapText="1"/>
    </xf>
    <xf numFmtId="0" fontId="62" fillId="0" borderId="10" xfId="2072" applyFont="1" applyFill="1" applyBorder="1" applyAlignment="1">
      <alignment horizontal="center" vertical="center" wrapText="1"/>
    </xf>
    <xf numFmtId="0" fontId="62" fillId="0" borderId="10" xfId="2072" applyNumberFormat="1" applyFont="1" applyFill="1" applyBorder="1" applyAlignment="1">
      <alignment horizontal="center" vertical="center" wrapText="1"/>
    </xf>
    <xf numFmtId="4" fontId="62" fillId="0" borderId="10" xfId="2072" applyNumberFormat="1" applyFont="1" applyFill="1" applyBorder="1" applyAlignment="1">
      <alignment horizontal="center" vertical="center" wrapText="1"/>
    </xf>
    <xf numFmtId="2" fontId="62" fillId="0" borderId="10" xfId="2076" applyNumberFormat="1" applyFont="1" applyFill="1" applyBorder="1" applyAlignment="1">
      <alignment horizontal="center" vertical="center" wrapText="1"/>
    </xf>
    <xf numFmtId="49" fontId="66" fillId="0" borderId="10" xfId="2042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2" fillId="0" borderId="10" xfId="2051" applyNumberFormat="1" applyFont="1" applyFill="1" applyBorder="1" applyAlignment="1">
      <alignment horizontal="center" vertical="center" wrapText="1"/>
    </xf>
    <xf numFmtId="49" fontId="62" fillId="0" borderId="10" xfId="2055" applyNumberFormat="1" applyFont="1" applyFill="1" applyBorder="1" applyAlignment="1">
      <alignment horizontal="center" vertical="center" wrapText="1"/>
    </xf>
    <xf numFmtId="49" fontId="62" fillId="0" borderId="10" xfId="2075" applyNumberFormat="1" applyFont="1" applyFill="1" applyBorder="1" applyAlignment="1">
      <alignment horizontal="center" vertical="center" wrapText="1"/>
    </xf>
    <xf numFmtId="49" fontId="62" fillId="0" borderId="10" xfId="2095" applyNumberFormat="1" applyFont="1" applyFill="1" applyBorder="1" applyAlignment="1">
      <alignment horizontal="center" vertical="center" wrapText="1"/>
    </xf>
    <xf numFmtId="49" fontId="62" fillId="0" borderId="10" xfId="2106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2" fillId="0" borderId="10" xfId="2070" applyNumberFormat="1" applyFont="1" applyFill="1" applyBorder="1" applyAlignment="1">
      <alignment horizontal="center" vertical="center" wrapText="1"/>
    </xf>
    <xf numFmtId="49" fontId="62" fillId="0" borderId="10" xfId="2101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0" xfId="0" applyNumberFormat="1" applyFont="1" applyFill="1" applyBorder="1">
      <alignment horizontal="left" vertical="center" wrapText="1"/>
    </xf>
    <xf numFmtId="4" fontId="62" fillId="0" borderId="10" xfId="2137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0" fontId="62" fillId="0" borderId="10" xfId="2139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2137" applyNumberFormat="1" applyFont="1" applyFill="1" applyBorder="1" applyAlignment="1">
      <alignment horizontal="center" vertical="center"/>
    </xf>
    <xf numFmtId="4" fontId="62" fillId="0" borderId="10" xfId="2055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horizontal="center" vertical="center" wrapText="1"/>
    </xf>
    <xf numFmtId="164" fontId="3" fillId="79" borderId="13" xfId="0" applyNumberFormat="1" applyFont="1" applyFill="1" applyBorder="1" applyAlignment="1">
      <alignment horizontal="center" vertical="center" textRotation="90" wrapText="1"/>
    </xf>
    <xf numFmtId="164" fontId="3" fillId="79" borderId="18" xfId="0" applyNumberFormat="1" applyFont="1" applyFill="1" applyBorder="1" applyAlignment="1">
      <alignment horizontal="center" vertical="center" textRotation="90" wrapText="1"/>
    </xf>
    <xf numFmtId="164" fontId="3" fillId="79" borderId="12" xfId="0" applyNumberFormat="1" applyFont="1" applyFill="1" applyBorder="1" applyAlignment="1">
      <alignment horizontal="center" vertical="center" textRotation="90" wrapText="1"/>
    </xf>
    <xf numFmtId="4" fontId="0" fillId="79" borderId="0" xfId="0" applyNumberFormat="1" applyFill="1" applyAlignment="1">
      <alignment horizontal="center" vertical="center" wrapText="1"/>
    </xf>
    <xf numFmtId="0" fontId="62" fillId="0" borderId="10" xfId="2055" applyFont="1" applyFill="1" applyBorder="1" applyAlignment="1">
      <alignment horizontal="center" vertical="center" wrapText="1"/>
    </xf>
    <xf numFmtId="4" fontId="62" fillId="0" borderId="10" xfId="2056" applyNumberFormat="1" applyFont="1" applyFill="1" applyBorder="1" applyAlignment="1">
      <alignment horizontal="center" vertical="center" wrapText="1"/>
    </xf>
    <xf numFmtId="4" fontId="62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>
      <alignment horizontal="left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62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4" fontId="62" fillId="0" borderId="10" xfId="2074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left" vertical="center" wrapText="1"/>
    </xf>
    <xf numFmtId="4" fontId="62" fillId="0" borderId="10" xfId="2139" applyNumberFormat="1" applyFont="1" applyFill="1" applyBorder="1" applyAlignment="1">
      <alignment horizontal="left" vertical="center" wrapText="1"/>
    </xf>
    <xf numFmtId="4" fontId="62" fillId="0" borderId="10" xfId="2132" applyNumberFormat="1" applyFont="1" applyFill="1" applyBorder="1" applyAlignment="1">
      <alignment horizontal="left" vertical="center" wrapText="1"/>
    </xf>
    <xf numFmtId="4" fontId="62" fillId="0" borderId="10" xfId="2141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62" fillId="0" borderId="10" xfId="2051" applyNumberFormat="1" applyFont="1" applyFill="1" applyBorder="1" applyAlignment="1">
      <alignment horizontal="center" vertical="center" wrapText="1"/>
    </xf>
    <xf numFmtId="4" fontId="62" fillId="0" borderId="10" xfId="2052" applyNumberFormat="1" applyFont="1" applyFill="1" applyBorder="1" applyAlignment="1">
      <alignment horizontal="center" vertical="center" wrapText="1"/>
    </xf>
    <xf numFmtId="4" fontId="62" fillId="0" borderId="10" xfId="2040" applyNumberFormat="1" applyFont="1" applyFill="1" applyBorder="1" applyAlignment="1">
      <alignment horizontal="center" vertical="center" wrapText="1"/>
    </xf>
    <xf numFmtId="4" fontId="62" fillId="0" borderId="10" xfId="2037" applyNumberFormat="1" applyFont="1" applyFill="1" applyBorder="1" applyAlignment="1">
      <alignment horizontal="center" vertical="center" wrapText="1"/>
    </xf>
    <xf numFmtId="4" fontId="66" fillId="0" borderId="10" xfId="2052" applyNumberFormat="1" applyFont="1" applyFill="1" applyBorder="1" applyAlignment="1">
      <alignment horizontal="center" vertical="center" wrapText="1"/>
    </xf>
    <xf numFmtId="1" fontId="62" fillId="0" borderId="10" xfId="2053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62" fillId="0" borderId="10" xfId="2140" applyNumberFormat="1" applyFont="1" applyFill="1" applyBorder="1" applyAlignment="1">
      <alignment horizontal="left" vertical="center" wrapText="1"/>
    </xf>
    <xf numFmtId="0" fontId="0" fillId="0" borderId="0" xfId="0" applyNumberForma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28" fillId="0" borderId="10" xfId="0" applyNumberFormat="1" applyFont="1" applyFill="1" applyBorder="1">
      <alignment horizontal="left" vertical="center" wrapText="1"/>
    </xf>
    <xf numFmtId="0" fontId="28" fillId="0" borderId="10" xfId="0" applyFont="1" applyFill="1" applyBorder="1">
      <alignment horizontal="left" vertical="center" wrapText="1"/>
    </xf>
    <xf numFmtId="0" fontId="68" fillId="0" borderId="10" xfId="2052" applyFont="1" applyFill="1" applyBorder="1" applyAlignment="1">
      <alignment horizontal="center" vertical="center" wrapText="1"/>
    </xf>
    <xf numFmtId="0" fontId="3" fillId="79" borderId="0" xfId="0" applyFont="1" applyFill="1">
      <alignment horizontal="left" vertical="center" wrapText="1"/>
    </xf>
    <xf numFmtId="4" fontId="3" fillId="79" borderId="0" xfId="0" applyNumberFormat="1" applyFont="1" applyFill="1" applyAlignment="1">
      <alignment horizontal="center" vertical="center" wrapText="1"/>
    </xf>
    <xf numFmtId="4" fontId="3" fillId="79" borderId="13" xfId="0" applyNumberFormat="1" applyFont="1" applyFill="1" applyBorder="1" applyAlignment="1">
      <alignment horizontal="center" vertical="center" wrapText="1"/>
    </xf>
    <xf numFmtId="4" fontId="3" fillId="79" borderId="18" xfId="0" applyNumberFormat="1" applyFont="1" applyFill="1" applyBorder="1" applyAlignment="1">
      <alignment horizontal="center" vertical="center" wrapText="1"/>
    </xf>
    <xf numFmtId="4" fontId="3" fillId="79" borderId="12" xfId="0" applyNumberFormat="1" applyFont="1" applyFill="1" applyBorder="1" applyAlignment="1">
      <alignment horizontal="center" vertical="center" wrapText="1"/>
    </xf>
    <xf numFmtId="0" fontId="3" fillId="79" borderId="0" xfId="0" applyFont="1" applyFill="1" applyAlignment="1">
      <alignment vertical="center" wrapText="1"/>
    </xf>
    <xf numFmtId="0" fontId="3" fillId="79" borderId="10" xfId="0" applyNumberFormat="1" applyFont="1" applyFill="1" applyBorder="1" applyAlignment="1">
      <alignment horizontal="center" vertical="center" wrapText="1"/>
    </xf>
    <xf numFmtId="3" fontId="62" fillId="0" borderId="22" xfId="2053" applyNumberFormat="1" applyFont="1" applyFill="1" applyBorder="1" applyAlignment="1">
      <alignment horizontal="center" vertical="center" wrapText="1"/>
    </xf>
    <xf numFmtId="3" fontId="62" fillId="0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2" fillId="0" borderId="10" xfId="2139" applyFont="1" applyFill="1" applyBorder="1" applyAlignment="1">
      <alignment horizontal="left" vertical="center" wrapText="1"/>
    </xf>
    <xf numFmtId="0" fontId="62" fillId="0" borderId="10" xfId="2132" applyFont="1" applyFill="1" applyBorder="1" applyAlignment="1">
      <alignment horizontal="left" vertical="center" wrapText="1"/>
    </xf>
    <xf numFmtId="0" fontId="62" fillId="0" borderId="10" xfId="2141" applyFont="1" applyFill="1" applyBorder="1" applyAlignment="1">
      <alignment horizontal="left" vertical="center" wrapText="1"/>
    </xf>
    <xf numFmtId="0" fontId="65" fillId="0" borderId="10" xfId="2140" applyFont="1" applyFill="1" applyBorder="1" applyAlignment="1">
      <alignment horizontal="center" vertical="center" wrapText="1"/>
    </xf>
    <xf numFmtId="0" fontId="62" fillId="0" borderId="10" xfId="214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4" xfId="2139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textRotation="90" wrapText="1"/>
    </xf>
    <xf numFmtId="0" fontId="62" fillId="0" borderId="0" xfId="0" applyFont="1" applyFill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0" xfId="2141" applyFont="1" applyFill="1" applyBorder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62" fillId="0" borderId="10" xfId="2138" applyFont="1" applyFill="1" applyBorder="1" applyAlignment="1">
      <alignment horizontal="center" vertical="center"/>
    </xf>
    <xf numFmtId="0" fontId="62" fillId="0" borderId="12" xfId="2138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3" fontId="62" fillId="0" borderId="10" xfId="2041" applyNumberFormat="1" applyFont="1" applyFill="1" applyBorder="1" applyAlignment="1">
      <alignment horizontal="center" vertical="center" wrapText="1"/>
    </xf>
    <xf numFmtId="3" fontId="62" fillId="0" borderId="10" xfId="2053" applyNumberFormat="1" applyFont="1" applyFill="1" applyBorder="1" applyAlignment="1">
      <alignment horizontal="center" vertical="center" wrapText="1"/>
    </xf>
    <xf numFmtId="3" fontId="62" fillId="0" borderId="10" xfId="2057" applyNumberFormat="1" applyFont="1" applyFill="1" applyBorder="1" applyAlignment="1">
      <alignment horizontal="center" vertical="center" wrapText="1"/>
    </xf>
    <xf numFmtId="3" fontId="62" fillId="0" borderId="10" xfId="2132" applyNumberFormat="1" applyFont="1" applyFill="1" applyBorder="1" applyAlignment="1">
      <alignment horizontal="center" vertical="center" wrapText="1"/>
    </xf>
    <xf numFmtId="0" fontId="0" fillId="80" borderId="0" xfId="0" applyFill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>
      <alignment horizontal="left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 shrinkToFit="1"/>
    </xf>
    <xf numFmtId="0" fontId="24" fillId="79" borderId="0" xfId="0" applyFont="1" applyFill="1" applyAlignment="1">
      <alignment horizontal="center" wrapText="1" shrinkToFit="1"/>
    </xf>
    <xf numFmtId="0" fontId="0" fillId="81" borderId="0" xfId="0" applyFill="1">
      <alignment horizontal="left" vertical="center" wrapText="1"/>
    </xf>
    <xf numFmtId="0" fontId="0" fillId="81" borderId="0" xfId="0" applyFill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" fontId="62" fillId="0" borderId="10" xfId="2106" applyNumberFormat="1" applyFont="1" applyFill="1" applyBorder="1" applyAlignment="1">
      <alignment horizontal="center" vertical="center" wrapText="1"/>
    </xf>
    <xf numFmtId="4" fontId="62" fillId="0" borderId="10" xfId="2051" applyNumberFormat="1" applyFont="1" applyFill="1" applyBorder="1" applyAlignment="1">
      <alignment horizontal="center" vertical="center" wrapText="1"/>
    </xf>
    <xf numFmtId="4" fontId="62" fillId="0" borderId="10" xfId="2105" applyNumberFormat="1" applyFont="1" applyFill="1" applyBorder="1" applyAlignment="1">
      <alignment horizontal="center" vertical="center" wrapText="1"/>
    </xf>
    <xf numFmtId="0" fontId="62" fillId="0" borderId="10" xfId="2139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2132" applyFont="1" applyFill="1" applyBorder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7" fillId="82" borderId="0" xfId="0" applyFont="1" applyFill="1" applyBorder="1" applyAlignment="1">
      <alignment horizontal="center" wrapText="1" shrinkToFit="1"/>
    </xf>
    <xf numFmtId="0" fontId="3" fillId="82" borderId="10" xfId="0" applyFont="1" applyFill="1" applyBorder="1" applyAlignment="1">
      <alignment horizontal="left" vertical="center"/>
    </xf>
    <xf numFmtId="0" fontId="3" fillId="82" borderId="10" xfId="0" applyFont="1" applyFill="1" applyBorder="1" applyAlignment="1">
      <alignment horizontal="center" vertical="center"/>
    </xf>
    <xf numFmtId="4" fontId="3" fillId="82" borderId="10" xfId="0" applyNumberFormat="1" applyFont="1" applyFill="1" applyBorder="1" applyAlignment="1">
      <alignment horizontal="center" vertical="center" wrapText="1"/>
    </xf>
    <xf numFmtId="0" fontId="3" fillId="82" borderId="10" xfId="0" applyFont="1" applyFill="1" applyBorder="1" applyAlignment="1">
      <alignment horizontal="center" vertical="center" wrapText="1"/>
    </xf>
    <xf numFmtId="1" fontId="3" fillId="82" borderId="10" xfId="0" applyNumberFormat="1" applyFont="1" applyFill="1" applyBorder="1" applyAlignment="1">
      <alignment horizontal="center" vertical="center" wrapText="1"/>
    </xf>
    <xf numFmtId="3" fontId="3" fillId="82" borderId="10" xfId="0" applyNumberFormat="1" applyFont="1" applyFill="1" applyBorder="1" applyAlignment="1">
      <alignment horizontal="center" vertical="center" wrapText="1"/>
    </xf>
    <xf numFmtId="0" fontId="23" fillId="82" borderId="10" xfId="0" applyFont="1" applyFill="1" applyBorder="1" applyAlignment="1">
      <alignment horizontal="left" vertical="center"/>
    </xf>
    <xf numFmtId="2" fontId="3" fillId="82" borderId="10" xfId="0" applyNumberFormat="1" applyFont="1" applyFill="1" applyBorder="1" applyAlignment="1">
      <alignment horizontal="center" vertical="center" wrapText="1"/>
    </xf>
    <xf numFmtId="0" fontId="3" fillId="82" borderId="10" xfId="0" applyFont="1" applyFill="1" applyBorder="1" applyAlignment="1">
      <alignment horizontal="center"/>
    </xf>
    <xf numFmtId="0" fontId="35" fillId="82" borderId="10" xfId="0" applyFont="1" applyFill="1" applyBorder="1" applyAlignment="1">
      <alignment horizontal="center" vertical="center"/>
    </xf>
    <xf numFmtId="0" fontId="42" fillId="82" borderId="10" xfId="0" applyFont="1" applyFill="1" applyBorder="1" applyAlignment="1">
      <alignment horizontal="center" vertical="center" wrapText="1"/>
    </xf>
    <xf numFmtId="0" fontId="43" fillId="82" borderId="10" xfId="0" applyFont="1" applyFill="1" applyBorder="1" applyAlignment="1">
      <alignment horizontal="center" vertical="center" wrapText="1"/>
    </xf>
    <xf numFmtId="0" fontId="23" fillId="82" borderId="10" xfId="0" applyFont="1" applyFill="1" applyBorder="1" applyAlignment="1">
      <alignment horizontal="center" vertical="center"/>
    </xf>
    <xf numFmtId="0" fontId="62" fillId="82" borderId="10" xfId="0" applyFont="1" applyFill="1" applyBorder="1" applyAlignment="1">
      <alignment vertical="center" wrapText="1"/>
    </xf>
    <xf numFmtId="0" fontId="62" fillId="82" borderId="10" xfId="0" applyFont="1" applyFill="1" applyBorder="1" applyAlignment="1">
      <alignment horizontal="left" vertical="center" wrapText="1"/>
    </xf>
    <xf numFmtId="0" fontId="23" fillId="82" borderId="10" xfId="0" applyFont="1" applyFill="1" applyBorder="1" applyAlignment="1">
      <alignment horizontal="center" vertical="center" wrapText="1"/>
    </xf>
    <xf numFmtId="0" fontId="3" fillId="82" borderId="10" xfId="0" applyFont="1" applyFill="1" applyBorder="1" applyAlignment="1">
      <alignment horizontal="left" vertical="center" wrapText="1"/>
    </xf>
    <xf numFmtId="4" fontId="29" fillId="82" borderId="10" xfId="0" applyNumberFormat="1" applyFont="1" applyFill="1" applyBorder="1" applyAlignment="1">
      <alignment horizontal="center" vertical="center" wrapText="1"/>
    </xf>
    <xf numFmtId="0" fontId="23" fillId="82" borderId="10" xfId="0" applyFont="1" applyFill="1" applyBorder="1">
      <alignment horizontal="left" vertical="center" wrapText="1"/>
    </xf>
    <xf numFmtId="2" fontId="23" fillId="82" borderId="10" xfId="0" applyNumberFormat="1" applyFont="1" applyFill="1" applyBorder="1" applyAlignment="1">
      <alignment horizontal="center" vertical="center"/>
    </xf>
    <xf numFmtId="0" fontId="3" fillId="82" borderId="10" xfId="0" applyFont="1" applyFill="1" applyBorder="1" applyAlignment="1">
      <alignment vertical="center"/>
    </xf>
    <xf numFmtId="0" fontId="23" fillId="82" borderId="10" xfId="2142" applyFont="1" applyFill="1" applyBorder="1" applyAlignment="1">
      <alignment horizontal="left" vertical="center"/>
    </xf>
    <xf numFmtId="0" fontId="23" fillId="82" borderId="10" xfId="2142" applyFont="1" applyFill="1" applyBorder="1" applyAlignment="1">
      <alignment vertical="center"/>
    </xf>
    <xf numFmtId="165" fontId="23" fillId="82" borderId="10" xfId="2142" applyNumberFormat="1" applyFont="1" applyFill="1" applyBorder="1" applyAlignment="1">
      <alignment horizontal="center" vertical="center" wrapText="1"/>
    </xf>
    <xf numFmtId="1" fontId="23" fillId="82" borderId="10" xfId="2142" applyNumberFormat="1" applyFont="1" applyFill="1" applyBorder="1" applyAlignment="1">
      <alignment horizontal="center" vertical="center" wrapText="1"/>
    </xf>
    <xf numFmtId="0" fontId="23" fillId="82" borderId="10" xfId="2139" applyFont="1" applyFill="1" applyBorder="1" applyAlignment="1">
      <alignment horizontal="center" vertical="center" wrapText="1"/>
    </xf>
    <xf numFmtId="0" fontId="23" fillId="82" borderId="10" xfId="2142" applyFont="1" applyFill="1" applyBorder="1" applyAlignment="1">
      <alignment vertical="center" wrapText="1"/>
    </xf>
    <xf numFmtId="0" fontId="23" fillId="82" borderId="10" xfId="2139" applyFont="1" applyFill="1" applyBorder="1" applyAlignment="1">
      <alignment horizontal="left" vertical="center"/>
    </xf>
    <xf numFmtId="0" fontId="23" fillId="82" borderId="10" xfId="2139" applyFont="1" applyFill="1" applyBorder="1" applyAlignment="1">
      <alignment horizontal="center" vertical="center"/>
    </xf>
    <xf numFmtId="2" fontId="23" fillId="82" borderId="10" xfId="2142" applyNumberFormat="1" applyFont="1" applyFill="1" applyBorder="1" applyAlignment="1">
      <alignment horizontal="center" vertical="center" wrapText="1"/>
    </xf>
    <xf numFmtId="4" fontId="3" fillId="82" borderId="10" xfId="2142" applyNumberFormat="1" applyFont="1" applyFill="1" applyBorder="1" applyAlignment="1">
      <alignment horizontal="center" vertical="center" wrapText="1"/>
    </xf>
    <xf numFmtId="1" fontId="3" fillId="82" borderId="10" xfId="2142" applyNumberFormat="1" applyFont="1" applyFill="1" applyBorder="1" applyAlignment="1">
      <alignment horizontal="center" vertical="center" wrapText="1"/>
    </xf>
    <xf numFmtId="0" fontId="3" fillId="82" borderId="10" xfId="2142" applyFont="1" applyFill="1" applyBorder="1" applyAlignment="1">
      <alignment horizontal="center" vertical="center" wrapText="1"/>
    </xf>
    <xf numFmtId="0" fontId="3" fillId="82" borderId="10" xfId="2142" applyFont="1" applyFill="1" applyBorder="1" applyAlignment="1">
      <alignment horizontal="left" vertical="center" wrapText="1"/>
    </xf>
    <xf numFmtId="0" fontId="3" fillId="82" borderId="10" xfId="2139" applyFont="1" applyFill="1" applyBorder="1" applyAlignment="1">
      <alignment horizontal="left" vertical="center"/>
    </xf>
    <xf numFmtId="2" fontId="3" fillId="82" borderId="10" xfId="2142" applyNumberFormat="1" applyFont="1" applyFill="1" applyBorder="1" applyAlignment="1">
      <alignment horizontal="center" vertical="center" wrapText="1"/>
    </xf>
    <xf numFmtId="0" fontId="3" fillId="82" borderId="10" xfId="2142" applyFont="1" applyFill="1" applyBorder="1" applyAlignment="1">
      <alignment horizontal="left" vertical="center"/>
    </xf>
    <xf numFmtId="0" fontId="3" fillId="82" borderId="10" xfId="2139" applyFont="1" applyFill="1" applyBorder="1" applyAlignment="1">
      <alignment horizontal="center" vertical="center"/>
    </xf>
    <xf numFmtId="0" fontId="0" fillId="82" borderId="10" xfId="0" applyFill="1" applyBorder="1" applyAlignment="1">
      <alignment horizontal="left" vertical="center"/>
    </xf>
    <xf numFmtId="4" fontId="0" fillId="82" borderId="10" xfId="0" applyNumberFormat="1" applyFill="1" applyBorder="1" applyAlignment="1">
      <alignment horizontal="center" vertical="center" wrapText="1"/>
    </xf>
    <xf numFmtId="4" fontId="37" fillId="82" borderId="10" xfId="0" applyNumberFormat="1" applyFont="1" applyFill="1" applyBorder="1" applyAlignment="1">
      <alignment horizontal="center" vertical="center" wrapText="1"/>
    </xf>
    <xf numFmtId="0" fontId="3" fillId="82" borderId="10" xfId="2143" applyFont="1" applyFill="1" applyBorder="1" applyAlignment="1">
      <alignment horizontal="left" vertical="center"/>
    </xf>
    <xf numFmtId="4" fontId="3" fillId="82" borderId="10" xfId="2143" applyNumberFormat="1" applyFont="1" applyFill="1" applyBorder="1" applyAlignment="1">
      <alignment horizontal="center" vertical="center" wrapText="1"/>
    </xf>
    <xf numFmtId="1" fontId="3" fillId="82" borderId="10" xfId="2143" applyNumberFormat="1" applyFont="1" applyFill="1" applyBorder="1" applyAlignment="1">
      <alignment horizontal="center" vertical="center" wrapText="1"/>
    </xf>
    <xf numFmtId="0" fontId="3" fillId="82" borderId="10" xfId="2143" applyFont="1" applyFill="1" applyBorder="1" applyAlignment="1">
      <alignment horizontal="center" vertical="center" wrapText="1"/>
    </xf>
    <xf numFmtId="0" fontId="3" fillId="82" borderId="10" xfId="2143" applyFont="1" applyFill="1" applyBorder="1" applyAlignment="1">
      <alignment horizontal="left" vertical="center" wrapText="1"/>
    </xf>
    <xf numFmtId="0" fontId="3" fillId="82" borderId="10" xfId="2140" applyFont="1" applyFill="1" applyBorder="1" applyAlignment="1">
      <alignment horizontal="left" vertical="center"/>
    </xf>
    <xf numFmtId="0" fontId="3" fillId="82" borderId="10" xfId="0" applyFont="1" applyFill="1" applyBorder="1">
      <alignment horizontal="left" vertical="center" wrapText="1"/>
    </xf>
    <xf numFmtId="0" fontId="3" fillId="82" borderId="10" xfId="2134" applyFont="1" applyFill="1" applyBorder="1" applyAlignment="1">
      <alignment horizontal="left" vertical="center"/>
    </xf>
    <xf numFmtId="4" fontId="3" fillId="82" borderId="10" xfId="2134" applyNumberFormat="1" applyFont="1" applyFill="1" applyBorder="1" applyAlignment="1">
      <alignment horizontal="center" vertical="center" wrapText="1"/>
    </xf>
    <xf numFmtId="3" fontId="3" fillId="82" borderId="10" xfId="2134" applyNumberFormat="1" applyFont="1" applyFill="1" applyBorder="1" applyAlignment="1">
      <alignment horizontal="center" vertical="center" wrapText="1"/>
    </xf>
    <xf numFmtId="0" fontId="3" fillId="82" borderId="10" xfId="2134" applyFont="1" applyFill="1" applyBorder="1" applyAlignment="1">
      <alignment horizontal="center" vertical="center" wrapText="1"/>
    </xf>
    <xf numFmtId="0" fontId="3" fillId="82" borderId="10" xfId="2134" applyFont="1" applyFill="1" applyBorder="1" applyAlignment="1">
      <alignment horizontal="left" vertical="center" wrapText="1"/>
    </xf>
    <xf numFmtId="1" fontId="3" fillId="82" borderId="10" xfId="2134" applyNumberFormat="1" applyFont="1" applyFill="1" applyBorder="1" applyAlignment="1">
      <alignment horizontal="center" vertical="center" wrapText="1"/>
    </xf>
    <xf numFmtId="3" fontId="3" fillId="82" borderId="10" xfId="2142" applyNumberFormat="1" applyFont="1" applyFill="1" applyBorder="1" applyAlignment="1">
      <alignment horizontal="center" vertical="center" wrapText="1"/>
    </xf>
    <xf numFmtId="0" fontId="3" fillId="82" borderId="10" xfId="2144" applyFont="1" applyFill="1" applyBorder="1" applyAlignment="1">
      <alignment horizontal="left" vertical="center"/>
    </xf>
    <xf numFmtId="0" fontId="3" fillId="82" borderId="10" xfId="2144" applyFont="1" applyFill="1" applyBorder="1" applyAlignment="1">
      <alignment horizontal="center" vertical="center" wrapText="1"/>
    </xf>
    <xf numFmtId="0" fontId="3" fillId="82" borderId="10" xfId="2141" applyFont="1" applyFill="1" applyBorder="1" applyAlignment="1">
      <alignment horizontal="left" vertical="center"/>
    </xf>
    <xf numFmtId="0" fontId="3" fillId="82" borderId="10" xfId="2141" applyFont="1" applyFill="1" applyBorder="1" applyAlignment="1">
      <alignment horizontal="left" vertical="center" wrapText="1"/>
    </xf>
    <xf numFmtId="4" fontId="3" fillId="82" borderId="10" xfId="2144" applyNumberFormat="1" applyFont="1" applyFill="1" applyBorder="1" applyAlignment="1">
      <alignment horizontal="center" vertical="center" wrapText="1"/>
    </xf>
    <xf numFmtId="3" fontId="3" fillId="82" borderId="10" xfId="2144" applyNumberFormat="1" applyFont="1" applyFill="1" applyBorder="1" applyAlignment="1">
      <alignment horizontal="center" vertical="center" wrapText="1"/>
    </xf>
    <xf numFmtId="0" fontId="3" fillId="82" borderId="10" xfId="2144" applyFont="1" applyFill="1" applyBorder="1" applyAlignment="1">
      <alignment horizontal="left" vertical="center" wrapText="1"/>
    </xf>
    <xf numFmtId="1" fontId="3" fillId="82" borderId="10" xfId="2144" applyNumberFormat="1" applyFont="1" applyFill="1" applyBorder="1" applyAlignment="1">
      <alignment horizontal="center" vertical="center" wrapText="1"/>
    </xf>
    <xf numFmtId="0" fontId="23" fillId="82" borderId="10" xfId="2142" applyFont="1" applyFill="1" applyBorder="1" applyAlignment="1">
      <alignment horizontal="left"/>
    </xf>
    <xf numFmtId="4" fontId="23" fillId="82" borderId="10" xfId="2142" applyNumberFormat="1" applyFont="1" applyFill="1" applyBorder="1" applyAlignment="1">
      <alignment horizontal="center" vertical="center" wrapText="1"/>
    </xf>
    <xf numFmtId="0" fontId="23" fillId="82" borderId="10" xfId="2142" applyFont="1" applyFill="1" applyBorder="1" applyAlignment="1">
      <alignment horizontal="center" vertical="center" wrapText="1"/>
    </xf>
    <xf numFmtId="2" fontId="23" fillId="82" borderId="10" xfId="2142" applyNumberFormat="1" applyFont="1" applyFill="1" applyBorder="1" applyAlignment="1">
      <alignment horizontal="center" vertical="center"/>
    </xf>
    <xf numFmtId="0" fontId="23" fillId="82" borderId="10" xfId="2142" applyFont="1" applyFill="1" applyBorder="1" applyAlignment="1">
      <alignment horizontal="center" wrapText="1"/>
    </xf>
    <xf numFmtId="0" fontId="23" fillId="82" borderId="10" xfId="2142" applyFont="1" applyFill="1" applyBorder="1" applyAlignment="1">
      <alignment wrapText="1"/>
    </xf>
    <xf numFmtId="0" fontId="23" fillId="82" borderId="10" xfId="2139" applyFont="1" applyFill="1" applyBorder="1" applyAlignment="1">
      <alignment vertical="center" wrapText="1"/>
    </xf>
    <xf numFmtId="2" fontId="23" fillId="82" borderId="10" xfId="2142" applyNumberFormat="1" applyFont="1" applyFill="1" applyBorder="1" applyAlignment="1">
      <alignment horizontal="center" wrapText="1"/>
    </xf>
    <xf numFmtId="1" fontId="23" fillId="82" borderId="10" xfId="2142" applyNumberFormat="1" applyFont="1" applyFill="1" applyBorder="1" applyAlignment="1">
      <alignment horizontal="center" wrapText="1"/>
    </xf>
    <xf numFmtId="2" fontId="23" fillId="82" borderId="10" xfId="2142" applyNumberFormat="1" applyFont="1" applyFill="1" applyBorder="1" applyAlignment="1">
      <alignment horizontal="center"/>
    </xf>
    <xf numFmtId="0" fontId="23" fillId="82" borderId="10" xfId="2142" applyFont="1" applyFill="1" applyBorder="1" applyAlignment="1"/>
    <xf numFmtId="4" fontId="23" fillId="82" borderId="10" xfId="2142" applyNumberFormat="1" applyFont="1" applyFill="1" applyBorder="1" applyAlignment="1">
      <alignment horizontal="center" wrapText="1"/>
    </xf>
    <xf numFmtId="4" fontId="40" fillId="82" borderId="10" xfId="0" applyNumberFormat="1" applyFont="1" applyFill="1" applyBorder="1" applyAlignment="1">
      <alignment horizontal="center" vertical="center" wrapText="1"/>
    </xf>
    <xf numFmtId="1" fontId="37" fillId="82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2412" applyNumberFormat="1" applyFont="1" applyFill="1" applyBorder="1" applyAlignment="1">
      <alignment horizontal="center" vertical="center" wrapText="1"/>
    </xf>
    <xf numFmtId="4" fontId="66" fillId="0" borderId="10" xfId="2042" applyNumberFormat="1" applyFont="1" applyFill="1" applyBorder="1" applyAlignment="1">
      <alignment horizontal="center" vertical="center" wrapText="1"/>
    </xf>
    <xf numFmtId="4" fontId="62" fillId="0" borderId="10" xfId="2071" applyNumberFormat="1" applyFont="1" applyFill="1" applyBorder="1" applyAlignment="1">
      <alignment horizontal="center" vertical="center" wrapText="1"/>
    </xf>
    <xf numFmtId="4" fontId="62" fillId="0" borderId="10" xfId="2078" applyNumberFormat="1" applyFont="1" applyFill="1" applyBorder="1" applyAlignment="1">
      <alignment horizontal="center" vertical="center" wrapText="1"/>
    </xf>
    <xf numFmtId="4" fontId="62" fillId="0" borderId="10" xfId="2100" applyNumberFormat="1" applyFont="1" applyFill="1" applyBorder="1" applyAlignment="1">
      <alignment horizontal="center" vertical="center" wrapText="1"/>
    </xf>
    <xf numFmtId="4" fontId="62" fillId="0" borderId="10" xfId="2094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>
      <alignment horizontal="left" vertical="center" wrapText="1"/>
    </xf>
    <xf numFmtId="0" fontId="2" fillId="0" borderId="0" xfId="0" applyNumberFormat="1" applyFo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70" fillId="0" borderId="0" xfId="0" applyFont="1" applyFill="1">
      <alignment horizontal="left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1" fillId="82" borderId="0" xfId="0" applyFont="1" applyFill="1" applyBorder="1" applyAlignment="1">
      <alignment horizontal="center" wrapText="1" shrinkToFit="1"/>
    </xf>
    <xf numFmtId="4" fontId="71" fillId="82" borderId="0" xfId="0" applyNumberFormat="1" applyFont="1" applyFill="1" applyBorder="1" applyAlignment="1">
      <alignment horizontal="center" wrapText="1" shrinkToFit="1"/>
    </xf>
    <xf numFmtId="1" fontId="71" fillId="82" borderId="0" xfId="0" applyNumberFormat="1" applyFont="1" applyFill="1" applyBorder="1" applyAlignment="1">
      <alignment horizontal="center" wrapText="1" shrinkToFit="1"/>
    </xf>
    <xf numFmtId="0" fontId="74" fillId="82" borderId="10" xfId="0" applyFont="1" applyFill="1" applyBorder="1" applyAlignment="1">
      <alignment horizontal="center" vertical="center" wrapText="1"/>
    </xf>
    <xf numFmtId="4" fontId="74" fillId="82" borderId="10" xfId="0" applyNumberFormat="1" applyFont="1" applyFill="1" applyBorder="1" applyAlignment="1">
      <alignment horizontal="center" vertical="center" wrapText="1"/>
    </xf>
    <xf numFmtId="1" fontId="74" fillId="82" borderId="10" xfId="0" applyNumberFormat="1" applyFont="1" applyFill="1" applyBorder="1" applyAlignment="1">
      <alignment horizontal="center" vertical="center" wrapText="1"/>
    </xf>
    <xf numFmtId="0" fontId="75" fillId="82" borderId="10" xfId="2136" applyFont="1" applyFill="1" applyBorder="1" applyAlignment="1">
      <alignment horizontal="center" vertical="center" wrapText="1"/>
    </xf>
    <xf numFmtId="0" fontId="74" fillId="82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textRotation="90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0" fontId="73" fillId="0" borderId="10" xfId="205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 wrapText="1"/>
    </xf>
    <xf numFmtId="4" fontId="73" fillId="0" borderId="10" xfId="2041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82" borderId="10" xfId="0" applyFont="1" applyFill="1" applyBorder="1" applyAlignment="1">
      <alignment horizontal="center" vertical="center"/>
    </xf>
    <xf numFmtId="0" fontId="24" fillId="82" borderId="10" xfId="0" applyFont="1" applyFill="1" applyBorder="1" applyAlignment="1">
      <alignment horizontal="left" vertical="center" wrapText="1"/>
    </xf>
    <xf numFmtId="4" fontId="24" fillId="82" borderId="10" xfId="0" applyNumberFormat="1" applyFont="1" applyFill="1" applyBorder="1" applyAlignment="1">
      <alignment horizontal="center" vertical="center" wrapText="1"/>
    </xf>
    <xf numFmtId="3" fontId="24" fillId="82" borderId="10" xfId="0" applyNumberFormat="1" applyFont="1" applyFill="1" applyBorder="1" applyAlignment="1">
      <alignment horizontal="center" vertical="center" wrapText="1"/>
    </xf>
    <xf numFmtId="0" fontId="24" fillId="82" borderId="10" xfId="0" applyNumberFormat="1" applyFont="1" applyFill="1" applyBorder="1" applyAlignment="1">
      <alignment horizontal="center" vertical="center" wrapText="1"/>
    </xf>
    <xf numFmtId="0" fontId="24" fillId="82" borderId="10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0" fontId="62" fillId="0" borderId="10" xfId="2139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5" fillId="0" borderId="10" xfId="2139" applyFont="1" applyFill="1" applyBorder="1" applyAlignment="1">
      <alignment horizontal="center" vertical="center" wrapText="1"/>
    </xf>
    <xf numFmtId="0" fontId="62" fillId="0" borderId="10" xfId="2132" applyFont="1" applyFill="1" applyBorder="1" applyAlignment="1">
      <alignment horizontal="left" vertical="center" wrapText="1"/>
    </xf>
    <xf numFmtId="0" fontId="62" fillId="0" borderId="10" xfId="2141" applyFont="1" applyFill="1" applyBorder="1" applyAlignment="1">
      <alignment horizontal="left" vertical="center" wrapText="1"/>
    </xf>
    <xf numFmtId="0" fontId="65" fillId="0" borderId="10" xfId="2141" applyFont="1" applyFill="1" applyBorder="1" applyAlignment="1">
      <alignment horizontal="center" vertical="center" wrapText="1"/>
    </xf>
    <xf numFmtId="0" fontId="62" fillId="0" borderId="10" xfId="2141" applyFont="1" applyFill="1" applyBorder="1">
      <alignment horizontal="left" vertical="center" wrapText="1"/>
    </xf>
    <xf numFmtId="0" fontId="65" fillId="0" borderId="10" xfId="214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11" xfId="2139" applyFont="1" applyFill="1" applyBorder="1" applyAlignment="1">
      <alignment horizontal="left" vertical="center" wrapText="1"/>
    </xf>
    <xf numFmtId="0" fontId="62" fillId="0" borderId="14" xfId="2139" applyFont="1" applyFill="1" applyBorder="1" applyAlignment="1">
      <alignment horizontal="left" vertical="center" wrapText="1"/>
    </xf>
    <xf numFmtId="0" fontId="65" fillId="0" borderId="11" xfId="2139" applyFont="1" applyFill="1" applyBorder="1" applyAlignment="1">
      <alignment horizontal="center" vertical="center" wrapText="1"/>
    </xf>
    <xf numFmtId="0" fontId="65" fillId="0" borderId="15" xfId="2139" applyFont="1" applyFill="1" applyBorder="1" applyAlignment="1">
      <alignment horizontal="center" vertical="center" wrapText="1"/>
    </xf>
    <xf numFmtId="0" fontId="65" fillId="0" borderId="14" xfId="2139" applyFont="1" applyFill="1" applyBorder="1" applyAlignment="1">
      <alignment horizontal="center" vertical="center" wrapText="1"/>
    </xf>
    <xf numFmtId="0" fontId="62" fillId="0" borderId="10" xfId="2140" applyFont="1" applyFill="1" applyBorder="1" applyAlignment="1">
      <alignment horizontal="left" vertical="center" wrapText="1"/>
    </xf>
    <xf numFmtId="4" fontId="63" fillId="0" borderId="0" xfId="0" applyNumberFormat="1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left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textRotation="90" wrapText="1"/>
    </xf>
    <xf numFmtId="0" fontId="62" fillId="0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textRotation="90" wrapText="1"/>
    </xf>
    <xf numFmtId="0" fontId="64" fillId="0" borderId="0" xfId="0" applyFont="1" applyFill="1" applyAlignment="1">
      <alignment horizontal="center" wrapText="1" shrinkToFi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 textRotation="90" wrapText="1"/>
    </xf>
    <xf numFmtId="4" fontId="62" fillId="0" borderId="13" xfId="0" applyNumberFormat="1" applyFont="1" applyFill="1" applyBorder="1" applyAlignment="1">
      <alignment horizontal="center" vertical="center" textRotation="90" wrapText="1"/>
    </xf>
    <xf numFmtId="4" fontId="62" fillId="0" borderId="18" xfId="0" applyNumberFormat="1" applyFont="1" applyFill="1" applyBorder="1" applyAlignment="1">
      <alignment horizontal="center" vertical="center" textRotation="90" wrapText="1"/>
    </xf>
    <xf numFmtId="4" fontId="62" fillId="0" borderId="12" xfId="0" applyNumberFormat="1" applyFont="1" applyFill="1" applyBorder="1" applyAlignment="1">
      <alignment horizontal="center" vertical="center" textRotation="90" wrapText="1"/>
    </xf>
    <xf numFmtId="0" fontId="62" fillId="0" borderId="10" xfId="0" applyNumberFormat="1" applyFont="1" applyFill="1" applyBorder="1" applyAlignment="1">
      <alignment horizontal="center" vertical="center" textRotation="90" wrapText="1"/>
    </xf>
    <xf numFmtId="49" fontId="62" fillId="0" borderId="10" xfId="0" applyNumberFormat="1" applyFont="1" applyFill="1" applyBorder="1" applyAlignment="1">
      <alignment horizontal="center" vertical="center" textRotation="90" wrapText="1"/>
    </xf>
    <xf numFmtId="4" fontId="63" fillId="0" borderId="0" xfId="0" applyNumberFormat="1" applyFont="1" applyFill="1" applyBorder="1" applyAlignment="1">
      <alignment horizontal="right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2" xfId="2139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29" fillId="82" borderId="10" xfId="0" applyFont="1" applyFill="1" applyBorder="1" applyAlignment="1">
      <alignment horizontal="center" vertical="center" wrapText="1"/>
    </xf>
    <xf numFmtId="0" fontId="0" fillId="82" borderId="10" xfId="0" applyFill="1" applyBorder="1">
      <alignment horizontal="left" vertical="center" wrapText="1"/>
    </xf>
    <xf numFmtId="0" fontId="3" fillId="82" borderId="11" xfId="0" applyFont="1" applyFill="1" applyBorder="1" applyAlignment="1">
      <alignment horizontal="left" vertical="center" wrapText="1"/>
    </xf>
    <xf numFmtId="0" fontId="3" fillId="82" borderId="14" xfId="0" applyFont="1" applyFill="1" applyBorder="1" applyAlignment="1">
      <alignment horizontal="left" vertical="center" wrapText="1"/>
    </xf>
    <xf numFmtId="0" fontId="71" fillId="82" borderId="21" xfId="0" applyFont="1" applyFill="1" applyBorder="1" applyAlignment="1">
      <alignment horizontal="center" vertical="center" wrapText="1" shrinkToFit="1"/>
    </xf>
    <xf numFmtId="0" fontId="69" fillId="82" borderId="21" xfId="0" applyFont="1" applyFill="1" applyBorder="1" applyAlignment="1">
      <alignment horizontal="center" vertical="center" wrapText="1" shrinkToFit="1"/>
    </xf>
    <xf numFmtId="4" fontId="72" fillId="82" borderId="0" xfId="0" applyNumberFormat="1" applyFont="1" applyFill="1" applyBorder="1" applyAlignment="1">
      <alignment horizontal="left" vertical="center" wrapText="1"/>
    </xf>
    <xf numFmtId="0" fontId="3" fillId="82" borderId="10" xfId="0" applyFont="1" applyFill="1" applyBorder="1" applyAlignment="1">
      <alignment horizontal="center" vertical="center" wrapText="1"/>
    </xf>
    <xf numFmtId="0" fontId="3" fillId="82" borderId="10" xfId="2144" applyFont="1" applyFill="1" applyBorder="1" applyAlignment="1">
      <alignment horizontal="left" vertical="center" wrapText="1"/>
    </xf>
    <xf numFmtId="0" fontId="3" fillId="82" borderId="10" xfId="0" applyFont="1" applyFill="1" applyBorder="1" applyAlignment="1">
      <alignment horizontal="left" vertical="center" wrapText="1"/>
    </xf>
    <xf numFmtId="0" fontId="36" fillId="82" borderId="10" xfId="2142" applyFont="1" applyFill="1" applyBorder="1" applyAlignment="1">
      <alignment horizontal="center" wrapText="1"/>
    </xf>
    <xf numFmtId="0" fontId="23" fillId="82" borderId="10" xfId="2142" applyFont="1" applyFill="1" applyBorder="1" applyAlignment="1">
      <alignment horizontal="left" wrapText="1"/>
    </xf>
    <xf numFmtId="0" fontId="3" fillId="82" borderId="10" xfId="2142" applyFont="1" applyFill="1" applyBorder="1" applyAlignment="1">
      <alignment horizontal="left" vertical="center" wrapText="1"/>
    </xf>
    <xf numFmtId="0" fontId="29" fillId="82" borderId="10" xfId="21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 shrinkToFit="1"/>
    </xf>
    <xf numFmtId="0" fontId="3" fillId="82" borderId="10" xfId="2143" applyFont="1" applyFill="1" applyBorder="1" applyAlignment="1">
      <alignment horizontal="left" vertical="center" wrapText="1"/>
    </xf>
    <xf numFmtId="0" fontId="29" fillId="82" borderId="10" xfId="214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74" fillId="8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6" fillId="82" borderId="10" xfId="2142" applyFont="1" applyFill="1" applyBorder="1" applyAlignment="1">
      <alignment horizontal="center" vertical="center" wrapText="1"/>
    </xf>
    <xf numFmtId="0" fontId="3" fillId="82" borderId="20" xfId="0" applyFont="1" applyFill="1" applyBorder="1" applyAlignment="1">
      <alignment horizontal="left" vertical="center" wrapText="1"/>
    </xf>
    <xf numFmtId="0" fontId="3" fillId="82" borderId="17" xfId="0" applyFont="1" applyFill="1" applyBorder="1" applyAlignment="1">
      <alignment horizontal="left" vertical="center" wrapText="1"/>
    </xf>
    <xf numFmtId="4" fontId="74" fillId="82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3" fillId="82" borderId="10" xfId="2134" applyFont="1" applyFill="1" applyBorder="1" applyAlignment="1">
      <alignment horizontal="left" vertical="center" wrapText="1"/>
    </xf>
    <xf numFmtId="0" fontId="29" fillId="82" borderId="10" xfId="2144" applyFont="1" applyFill="1" applyBorder="1" applyAlignment="1">
      <alignment horizontal="center" vertical="center" wrapText="1"/>
    </xf>
    <xf numFmtId="0" fontId="23" fillId="82" borderId="10" xfId="2142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>
      <alignment horizontal="left" vertical="center" wrapText="1"/>
    </xf>
    <xf numFmtId="0" fontId="24" fillId="0" borderId="12" xfId="0" applyFont="1" applyFill="1" applyBorder="1">
      <alignment horizontal="left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78" fillId="0" borderId="0" xfId="0" applyNumberFormat="1" applyFont="1" applyFill="1" applyBorder="1" applyAlignment="1">
      <alignment horizontal="left" vertical="center" wrapText="1"/>
    </xf>
    <xf numFmtId="49" fontId="77" fillId="0" borderId="21" xfId="0" applyNumberFormat="1" applyFont="1" applyFill="1" applyBorder="1" applyAlignment="1">
      <alignment horizontal="center" vertical="center" wrapText="1" shrinkToFit="1"/>
    </xf>
    <xf numFmtId="0" fontId="65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center" vertical="center" textRotation="90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49" fontId="24" fillId="0" borderId="10" xfId="0" applyNumberFormat="1" applyFont="1" applyFill="1" applyBorder="1" applyAlignment="1">
      <alignment horizontal="center" vertical="center" textRotation="90" wrapText="1"/>
    </xf>
    <xf numFmtId="164" fontId="24" fillId="0" borderId="10" xfId="0" applyNumberFormat="1" applyFont="1" applyFill="1" applyBorder="1" applyAlignment="1">
      <alignment horizontal="center" vertical="center" textRotation="90" wrapText="1"/>
    </xf>
    <xf numFmtId="0" fontId="24" fillId="0" borderId="10" xfId="0" applyNumberFormat="1" applyFont="1" applyFill="1" applyBorder="1" applyAlignment="1">
      <alignment horizontal="center" vertical="center" textRotation="90" wrapText="1"/>
    </xf>
    <xf numFmtId="0" fontId="65" fillId="0" borderId="10" xfId="2139" applyFont="1" applyFill="1" applyBorder="1" applyAlignment="1">
      <alignment horizontal="left" vertical="center" wrapText="1"/>
    </xf>
    <xf numFmtId="0" fontId="65" fillId="0" borderId="10" xfId="2140" applyFont="1" applyFill="1" applyBorder="1" applyAlignment="1">
      <alignment horizontal="left" vertical="center" wrapText="1"/>
    </xf>
    <xf numFmtId="0" fontId="65" fillId="0" borderId="10" xfId="2132" applyFont="1" applyFill="1" applyBorder="1" applyAlignment="1">
      <alignment horizontal="left" vertical="center" wrapText="1"/>
    </xf>
    <xf numFmtId="0" fontId="65" fillId="0" borderId="10" xfId="214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left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65" fillId="0" borderId="11" xfId="2141" applyFont="1" applyFill="1" applyBorder="1" applyAlignment="1">
      <alignment horizontal="center" vertical="center" wrapText="1"/>
    </xf>
    <xf numFmtId="0" fontId="65" fillId="0" borderId="15" xfId="2141" applyFont="1" applyFill="1" applyBorder="1" applyAlignment="1">
      <alignment horizontal="center" vertical="center" wrapText="1"/>
    </xf>
    <xf numFmtId="0" fontId="65" fillId="0" borderId="14" xfId="2141" applyFont="1" applyFill="1" applyBorder="1" applyAlignment="1">
      <alignment horizontal="center" vertical="center" wrapText="1"/>
    </xf>
    <xf numFmtId="0" fontId="65" fillId="0" borderId="11" xfId="2140" applyFont="1" applyFill="1" applyBorder="1" applyAlignment="1">
      <alignment horizontal="center" vertical="center" wrapText="1"/>
    </xf>
    <xf numFmtId="0" fontId="65" fillId="0" borderId="15" xfId="2140" applyFont="1" applyFill="1" applyBorder="1" applyAlignment="1">
      <alignment horizontal="center" vertical="center" wrapText="1"/>
    </xf>
    <xf numFmtId="0" fontId="65" fillId="0" borderId="14" xfId="2140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vertical="center" wrapText="1"/>
    </xf>
    <xf numFmtId="4" fontId="65" fillId="0" borderId="15" xfId="0" applyNumberFormat="1" applyFont="1" applyFill="1" applyBorder="1" applyAlignment="1">
      <alignment horizontal="center" vertical="center" wrapText="1"/>
    </xf>
    <xf numFmtId="4" fontId="65" fillId="0" borderId="14" xfId="0" applyNumberFormat="1" applyFont="1" applyFill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left" vertical="center" wrapText="1"/>
    </xf>
    <xf numFmtId="4" fontId="65" fillId="0" borderId="10" xfId="0" applyNumberFormat="1" applyFont="1" applyFill="1" applyBorder="1" applyAlignment="1">
      <alignment horizontal="center" vertical="center" wrapText="1"/>
    </xf>
    <xf numFmtId="4" fontId="65" fillId="0" borderId="10" xfId="2139" applyNumberFormat="1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79" borderId="13" xfId="0" applyNumberFormat="1" applyFont="1" applyFill="1" applyBorder="1" applyAlignment="1">
      <alignment horizontal="center" vertical="center" textRotation="90" wrapText="1"/>
    </xf>
    <xf numFmtId="0" fontId="0" fillId="79" borderId="18" xfId="0" applyFill="1" applyBorder="1">
      <alignment horizontal="left" vertical="center" wrapText="1"/>
    </xf>
    <xf numFmtId="0" fontId="0" fillId="79" borderId="12" xfId="0" applyFill="1" applyBorder="1">
      <alignment horizontal="left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4" fontId="3" fillId="79" borderId="10" xfId="0" applyNumberFormat="1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16" xfId="0" applyFill="1" applyBorder="1">
      <alignment horizontal="left" vertical="center" wrapText="1"/>
    </xf>
    <xf numFmtId="0" fontId="0" fillId="0" borderId="32" xfId="0" applyFill="1" applyBorder="1">
      <alignment horizontal="left" vertical="center" wrapText="1"/>
    </xf>
    <xf numFmtId="0" fontId="0" fillId="0" borderId="33" xfId="0" applyFill="1" applyBorder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3" fillId="0" borderId="35" xfId="2136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79" borderId="13" xfId="0" applyNumberFormat="1" applyFont="1" applyFill="1" applyBorder="1" applyAlignment="1">
      <alignment horizontal="center" vertical="center" wrapText="1"/>
    </xf>
    <xf numFmtId="164" fontId="3" fillId="79" borderId="18" xfId="0" applyNumberFormat="1" applyFont="1" applyFill="1" applyBorder="1" applyAlignment="1">
      <alignment horizontal="center" vertical="center" wrapText="1"/>
    </xf>
    <xf numFmtId="164" fontId="3" fillId="79" borderId="12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79" fillId="0" borderId="0" xfId="0" applyNumberFormat="1" applyFont="1" applyFill="1" applyBorder="1" applyAlignment="1">
      <alignment horizontal="left" vertical="center" wrapText="1"/>
    </xf>
    <xf numFmtId="0" fontId="24" fillId="82" borderId="11" xfId="0" applyFont="1" applyFill="1" applyBorder="1" applyAlignment="1">
      <alignment horizontal="center" vertical="center" wrapText="1"/>
    </xf>
    <xf numFmtId="0" fontId="24" fillId="82" borderId="14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left" vertical="center" wrapText="1"/>
    </xf>
    <xf numFmtId="4" fontId="62" fillId="0" borderId="0" xfId="0" applyNumberFormat="1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4" fontId="81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4" fontId="65" fillId="0" borderId="10" xfId="2076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4" fontId="81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</cellXfs>
  <cellStyles count="2445">
    <cellStyle name="20% — акцент1" xfId="241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4"/>
    <cellStyle name="20% — акцент2" xfId="241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6"/>
    <cellStyle name="20% — акцент3" xfId="241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8"/>
    <cellStyle name="20% — акцент4" xfId="241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20"/>
    <cellStyle name="20% — акцент5" xfId="242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22"/>
    <cellStyle name="20% — акцент6" xfId="242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4"/>
    <cellStyle name="40% — акцент1" xfId="242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6"/>
    <cellStyle name="40% — акцент2" xfId="242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8"/>
    <cellStyle name="40% — акцент3" xfId="242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30"/>
    <cellStyle name="40% — акцент4" xfId="243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32"/>
    <cellStyle name="40% — акцент5" xfId="243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4"/>
    <cellStyle name="40% — акцент6" xfId="243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6"/>
    <cellStyle name="60% — акцент1" xfId="243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4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4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4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3"/>
    <cellStyle name="ИтогоБИМ" xfId="244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Лист3" xfId="2138"/>
    <cellStyle name="Обычный_Приложение 1" xfId="2139"/>
    <cellStyle name="Обычный_Приложение 1_1" xfId="2140"/>
    <cellStyle name="Обычный_Приложение 1_2" xfId="2141"/>
    <cellStyle name="Обычный_Приложение 2" xfId="2142"/>
    <cellStyle name="Обычный_Приложение 2_1" xfId="2143"/>
    <cellStyle name="Обычный_Приложение 2_2" xfId="2144"/>
    <cellStyle name="Плохой" xfId="2145" builtinId="27" customBuiltin="1"/>
    <cellStyle name="Плохой 10" xfId="2146"/>
    <cellStyle name="Плохой 11" xfId="2147"/>
    <cellStyle name="Плохой 12" xfId="2148"/>
    <cellStyle name="Плохой 13" xfId="2149"/>
    <cellStyle name="Плохой 14" xfId="2150"/>
    <cellStyle name="Плохой 15" xfId="2151"/>
    <cellStyle name="Плохой 16" xfId="2152"/>
    <cellStyle name="Плохой 17" xfId="2153"/>
    <cellStyle name="Плохой 18" xfId="2154"/>
    <cellStyle name="Плохой 19" xfId="2155"/>
    <cellStyle name="Плохой 2" xfId="2156"/>
    <cellStyle name="Плохой 20" xfId="2157"/>
    <cellStyle name="Плохой 21" xfId="2158"/>
    <cellStyle name="Плохой 22" xfId="2159"/>
    <cellStyle name="Плохой 23" xfId="2160"/>
    <cellStyle name="Плохой 24" xfId="2161"/>
    <cellStyle name="Плохой 25" xfId="2162"/>
    <cellStyle name="Плохой 26" xfId="2163"/>
    <cellStyle name="Плохой 27" xfId="2164"/>
    <cellStyle name="Плохой 28" xfId="2165"/>
    <cellStyle name="Плохой 29" xfId="2166"/>
    <cellStyle name="Плохой 3" xfId="2167"/>
    <cellStyle name="Плохой 30" xfId="2168"/>
    <cellStyle name="Плохой 31" xfId="2169"/>
    <cellStyle name="Плохой 32" xfId="2170"/>
    <cellStyle name="Плохой 33" xfId="2171"/>
    <cellStyle name="Плохой 34" xfId="2172"/>
    <cellStyle name="Плохой 35" xfId="2173"/>
    <cellStyle name="Плохой 36" xfId="2174"/>
    <cellStyle name="Плохой 37" xfId="2175"/>
    <cellStyle name="Плохой 38" xfId="2176"/>
    <cellStyle name="Плохой 39" xfId="2177"/>
    <cellStyle name="Плохой 4" xfId="2178"/>
    <cellStyle name="Плохой 40" xfId="2179"/>
    <cellStyle name="Плохой 41" xfId="2180"/>
    <cellStyle name="Плохой 42" xfId="2181"/>
    <cellStyle name="Плохой 43" xfId="2182"/>
    <cellStyle name="Плохой 5" xfId="2183"/>
    <cellStyle name="Плохой 6" xfId="2184"/>
    <cellStyle name="Плохой 7" xfId="2185"/>
    <cellStyle name="Плохой 8" xfId="2186"/>
    <cellStyle name="Плохой 9" xfId="2187"/>
    <cellStyle name="Пояснение" xfId="2188" builtinId="53" customBuiltin="1"/>
    <cellStyle name="Пояснение 10" xfId="2189"/>
    <cellStyle name="Пояснение 11" xfId="2190"/>
    <cellStyle name="Пояснение 12" xfId="2191"/>
    <cellStyle name="Пояснение 13" xfId="2192"/>
    <cellStyle name="Пояснение 14" xfId="2193"/>
    <cellStyle name="Пояснение 15" xfId="2194"/>
    <cellStyle name="Пояснение 16" xfId="2195"/>
    <cellStyle name="Пояснение 17" xfId="2196"/>
    <cellStyle name="Пояснение 18" xfId="2197"/>
    <cellStyle name="Пояснение 19" xfId="2198"/>
    <cellStyle name="Пояснение 2" xfId="2199"/>
    <cellStyle name="Пояснение 20" xfId="2200"/>
    <cellStyle name="Пояснение 21" xfId="2201"/>
    <cellStyle name="Пояснение 22" xfId="2202"/>
    <cellStyle name="Пояснение 23" xfId="2203"/>
    <cellStyle name="Пояснение 24" xfId="2204"/>
    <cellStyle name="Пояснение 25" xfId="2205"/>
    <cellStyle name="Пояснение 26" xfId="2206"/>
    <cellStyle name="Пояснение 27" xfId="2207"/>
    <cellStyle name="Пояснение 28" xfId="2208"/>
    <cellStyle name="Пояснение 29" xfId="2209"/>
    <cellStyle name="Пояснение 3" xfId="2210"/>
    <cellStyle name="Пояснение 30" xfId="2211"/>
    <cellStyle name="Пояснение 31" xfId="2212"/>
    <cellStyle name="Пояснение 32" xfId="2213"/>
    <cellStyle name="Пояснение 33" xfId="2214"/>
    <cellStyle name="Пояснение 34" xfId="2215"/>
    <cellStyle name="Пояснение 35" xfId="2216"/>
    <cellStyle name="Пояснение 36" xfId="2217"/>
    <cellStyle name="Пояснение 37" xfId="2218"/>
    <cellStyle name="Пояснение 38" xfId="2219"/>
    <cellStyle name="Пояснение 39" xfId="2220"/>
    <cellStyle name="Пояснение 4" xfId="2221"/>
    <cellStyle name="Пояснение 40" xfId="2222"/>
    <cellStyle name="Пояснение 41" xfId="2223"/>
    <cellStyle name="Пояснение 42" xfId="2224"/>
    <cellStyle name="Пояснение 43" xfId="2225"/>
    <cellStyle name="Пояснение 5" xfId="2226"/>
    <cellStyle name="Пояснение 6" xfId="2227"/>
    <cellStyle name="Пояснение 7" xfId="2228"/>
    <cellStyle name="Пояснение 8" xfId="2229"/>
    <cellStyle name="Пояснение 9" xfId="2230"/>
    <cellStyle name="Примечание" xfId="2231" builtinId="10" customBuiltin="1"/>
    <cellStyle name="Примечание 10" xfId="2232"/>
    <cellStyle name="Примечание 11" xfId="2233"/>
    <cellStyle name="Примечание 12" xfId="2234"/>
    <cellStyle name="Примечание 13" xfId="2235"/>
    <cellStyle name="Примечание 14" xfId="2236"/>
    <cellStyle name="Примечание 15" xfId="2237"/>
    <cellStyle name="Примечание 16" xfId="2238"/>
    <cellStyle name="Примечание 17" xfId="2239"/>
    <cellStyle name="Примечание 18" xfId="2240"/>
    <cellStyle name="Примечание 19" xfId="2241"/>
    <cellStyle name="Примечание 2" xfId="2242"/>
    <cellStyle name="Примечание 20" xfId="2243"/>
    <cellStyle name="Примечание 21" xfId="2244"/>
    <cellStyle name="Примечание 22" xfId="2245"/>
    <cellStyle name="Примечание 23" xfId="2246"/>
    <cellStyle name="Примечание 24" xfId="2247"/>
    <cellStyle name="Примечание 25" xfId="2248"/>
    <cellStyle name="Примечание 26" xfId="2249"/>
    <cellStyle name="Примечание 27" xfId="2250"/>
    <cellStyle name="Примечание 28" xfId="2251"/>
    <cellStyle name="Примечание 29" xfId="2252"/>
    <cellStyle name="Примечание 3" xfId="2253"/>
    <cellStyle name="Примечание 30" xfId="2254"/>
    <cellStyle name="Примечание 31" xfId="2255"/>
    <cellStyle name="Примечание 32" xfId="2256"/>
    <cellStyle name="Примечание 33" xfId="2257"/>
    <cellStyle name="Примечание 34" xfId="2258"/>
    <cellStyle name="Примечание 35" xfId="2259"/>
    <cellStyle name="Примечание 36" xfId="2260"/>
    <cellStyle name="Примечание 37" xfId="2261"/>
    <cellStyle name="Примечание 38" xfId="2262"/>
    <cellStyle name="Примечание 39" xfId="2263"/>
    <cellStyle name="Примечание 4" xfId="2264"/>
    <cellStyle name="Примечание 40" xfId="2265"/>
    <cellStyle name="Примечание 41" xfId="2266"/>
    <cellStyle name="Примечание 42" xfId="2267"/>
    <cellStyle name="Примечание 43" xfId="2268"/>
    <cellStyle name="Примечание 44" xfId="2269"/>
    <cellStyle name="Примечание 5" xfId="2270"/>
    <cellStyle name="Примечание 6" xfId="2271"/>
    <cellStyle name="Примечание 7" xfId="2272"/>
    <cellStyle name="Примечание 8" xfId="2273"/>
    <cellStyle name="Примечание 9" xfId="2274"/>
    <cellStyle name="Процентный 2" xfId="2275"/>
    <cellStyle name="Процентный 2 2" xfId="2276"/>
    <cellStyle name="Процентный 2_Приложение 1" xfId="2277"/>
    <cellStyle name="Процентный 3" xfId="2278"/>
    <cellStyle name="Процентный 3 2" xfId="2279"/>
    <cellStyle name="Процентный 3_Приложение 1" xfId="2280"/>
    <cellStyle name="Связанная ячейка" xfId="2281" builtinId="24" customBuiltin="1"/>
    <cellStyle name="Связанная ячейка 10" xfId="2282"/>
    <cellStyle name="Связанная ячейка 11" xfId="2283"/>
    <cellStyle name="Связанная ячейка 12" xfId="2284"/>
    <cellStyle name="Связанная ячейка 13" xfId="2285"/>
    <cellStyle name="Связанная ячейка 14" xfId="2286"/>
    <cellStyle name="Связанная ячейка 15" xfId="2287"/>
    <cellStyle name="Связанная ячейка 16" xfId="2288"/>
    <cellStyle name="Связанная ячейка 17" xfId="2289"/>
    <cellStyle name="Связанная ячейка 18" xfId="2290"/>
    <cellStyle name="Связанная ячейка 19" xfId="2291"/>
    <cellStyle name="Связанная ячейка 2" xfId="2292"/>
    <cellStyle name="Связанная ячейка 20" xfId="2293"/>
    <cellStyle name="Связанная ячейка 21" xfId="2294"/>
    <cellStyle name="Связанная ячейка 22" xfId="2295"/>
    <cellStyle name="Связанная ячейка 23" xfId="2296"/>
    <cellStyle name="Связанная ячейка 24" xfId="2297"/>
    <cellStyle name="Связанная ячейка 25" xfId="2298"/>
    <cellStyle name="Связанная ячейка 26" xfId="2299"/>
    <cellStyle name="Связанная ячейка 27" xfId="2300"/>
    <cellStyle name="Связанная ячейка 28" xfId="2301"/>
    <cellStyle name="Связанная ячейка 29" xfId="2302"/>
    <cellStyle name="Связанная ячейка 3" xfId="2303"/>
    <cellStyle name="Связанная ячейка 30" xfId="2304"/>
    <cellStyle name="Связанная ячейка 31" xfId="2305"/>
    <cellStyle name="Связанная ячейка 32" xfId="2306"/>
    <cellStyle name="Связанная ячейка 33" xfId="2307"/>
    <cellStyle name="Связанная ячейка 34" xfId="2308"/>
    <cellStyle name="Связанная ячейка 35" xfId="2309"/>
    <cellStyle name="Связанная ячейка 36" xfId="2310"/>
    <cellStyle name="Связанная ячейка 37" xfId="2311"/>
    <cellStyle name="Связанная ячейка 38" xfId="2312"/>
    <cellStyle name="Связанная ячейка 39" xfId="2313"/>
    <cellStyle name="Связанная ячейка 4" xfId="2314"/>
    <cellStyle name="Связанная ячейка 40" xfId="2315"/>
    <cellStyle name="Связанная ячейка 41" xfId="2316"/>
    <cellStyle name="Связанная ячейка 42" xfId="2317"/>
    <cellStyle name="Связанная ячейка 43" xfId="2318"/>
    <cellStyle name="Связанная ячейка 5" xfId="2319"/>
    <cellStyle name="Связанная ячейка 6" xfId="2320"/>
    <cellStyle name="Связанная ячейка 7" xfId="2321"/>
    <cellStyle name="Связанная ячейка 8" xfId="2322"/>
    <cellStyle name="Связанная ячейка 9" xfId="2323"/>
    <cellStyle name="Стиль 1" xfId="2324"/>
    <cellStyle name="Текст предупреждения" xfId="2325" builtinId="11" customBuiltin="1"/>
    <cellStyle name="Текст предупреждения 10" xfId="2326"/>
    <cellStyle name="Текст предупреждения 11" xfId="2327"/>
    <cellStyle name="Текст предупреждения 12" xfId="2328"/>
    <cellStyle name="Текст предупреждения 13" xfId="2329"/>
    <cellStyle name="Текст предупреждения 14" xfId="2330"/>
    <cellStyle name="Текст предупреждения 15" xfId="2331"/>
    <cellStyle name="Текст предупреждения 16" xfId="2332"/>
    <cellStyle name="Текст предупреждения 17" xfId="2333"/>
    <cellStyle name="Текст предупреждения 18" xfId="2334"/>
    <cellStyle name="Текст предупреждения 19" xfId="2335"/>
    <cellStyle name="Текст предупреждения 2" xfId="2336"/>
    <cellStyle name="Текст предупреждения 20" xfId="2337"/>
    <cellStyle name="Текст предупреждения 21" xfId="2338"/>
    <cellStyle name="Текст предупреждения 22" xfId="2339"/>
    <cellStyle name="Текст предупреждения 23" xfId="2340"/>
    <cellStyle name="Текст предупреждения 24" xfId="2341"/>
    <cellStyle name="Текст предупреждения 25" xfId="2342"/>
    <cellStyle name="Текст предупреждения 26" xfId="2343"/>
    <cellStyle name="Текст предупреждения 27" xfId="2344"/>
    <cellStyle name="Текст предупреждения 28" xfId="2345"/>
    <cellStyle name="Текст предупреждения 29" xfId="2346"/>
    <cellStyle name="Текст предупреждения 3" xfId="2347"/>
    <cellStyle name="Текст предупреждения 30" xfId="2348"/>
    <cellStyle name="Текст предупреждения 31" xfId="2349"/>
    <cellStyle name="Текст предупреждения 32" xfId="2350"/>
    <cellStyle name="Текст предупреждения 33" xfId="2351"/>
    <cellStyle name="Текст предупреждения 34" xfId="2352"/>
    <cellStyle name="Текст предупреждения 35" xfId="2353"/>
    <cellStyle name="Текст предупреждения 36" xfId="2354"/>
    <cellStyle name="Текст предупреждения 37" xfId="2355"/>
    <cellStyle name="Текст предупреждения 38" xfId="2356"/>
    <cellStyle name="Текст предупреждения 39" xfId="2357"/>
    <cellStyle name="Текст предупреждения 4" xfId="2358"/>
    <cellStyle name="Текст предупреждения 40" xfId="2359"/>
    <cellStyle name="Текст предупреждения 41" xfId="2360"/>
    <cellStyle name="Текст предупреждения 42" xfId="2361"/>
    <cellStyle name="Текст предупреждения 43" xfId="2362"/>
    <cellStyle name="Текст предупреждения 5" xfId="2363"/>
    <cellStyle name="Текст предупреждения 6" xfId="2364"/>
    <cellStyle name="Текст предупреждения 7" xfId="2365"/>
    <cellStyle name="Текст предупреждения 8" xfId="2366"/>
    <cellStyle name="Текст предупреждения 9" xfId="2367"/>
    <cellStyle name="Финансовый" xfId="2412" builtinId="3"/>
    <cellStyle name="Финансовый 2" xfId="2368"/>
    <cellStyle name="Хороший" xfId="2369" builtinId="26" customBuiltin="1"/>
    <cellStyle name="Хороший 10" xfId="2370"/>
    <cellStyle name="Хороший 11" xfId="2371"/>
    <cellStyle name="Хороший 12" xfId="2372"/>
    <cellStyle name="Хороший 13" xfId="2373"/>
    <cellStyle name="Хороший 14" xfId="2374"/>
    <cellStyle name="Хороший 15" xfId="2375"/>
    <cellStyle name="Хороший 16" xfId="2376"/>
    <cellStyle name="Хороший 17" xfId="2377"/>
    <cellStyle name="Хороший 18" xfId="2378"/>
    <cellStyle name="Хороший 19" xfId="2379"/>
    <cellStyle name="Хороший 2" xfId="2380"/>
    <cellStyle name="Хороший 20" xfId="2381"/>
    <cellStyle name="Хороший 21" xfId="2382"/>
    <cellStyle name="Хороший 22" xfId="2383"/>
    <cellStyle name="Хороший 23" xfId="2384"/>
    <cellStyle name="Хороший 24" xfId="2385"/>
    <cellStyle name="Хороший 25" xfId="2386"/>
    <cellStyle name="Хороший 26" xfId="2387"/>
    <cellStyle name="Хороший 27" xfId="2388"/>
    <cellStyle name="Хороший 28" xfId="2389"/>
    <cellStyle name="Хороший 29" xfId="2390"/>
    <cellStyle name="Хороший 3" xfId="2391"/>
    <cellStyle name="Хороший 30" xfId="2392"/>
    <cellStyle name="Хороший 31" xfId="2393"/>
    <cellStyle name="Хороший 32" xfId="2394"/>
    <cellStyle name="Хороший 33" xfId="2395"/>
    <cellStyle name="Хороший 34" xfId="2396"/>
    <cellStyle name="Хороший 35" xfId="2397"/>
    <cellStyle name="Хороший 36" xfId="2398"/>
    <cellStyle name="Хороший 37" xfId="2399"/>
    <cellStyle name="Хороший 38" xfId="2400"/>
    <cellStyle name="Хороший 39" xfId="2401"/>
    <cellStyle name="Хороший 4" xfId="2402"/>
    <cellStyle name="Хороший 40" xfId="2403"/>
    <cellStyle name="Хороший 41" xfId="2404"/>
    <cellStyle name="Хороший 42" xfId="2405"/>
    <cellStyle name="Хороший 43" xfId="2406"/>
    <cellStyle name="Хороший 5" xfId="2407"/>
    <cellStyle name="Хороший 6" xfId="2408"/>
    <cellStyle name="Хороший 7" xfId="2409"/>
    <cellStyle name="Хороший 8" xfId="2410"/>
    <cellStyle name="Хороший 9" xfId="2411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 filterMode="1">
    <pageSetUpPr fitToPage="1"/>
  </sheetPr>
  <dimension ref="A1:V359"/>
  <sheetViews>
    <sheetView view="pageBreakPreview" topLeftCell="A3" zoomScale="140" zoomScaleNormal="150" zoomScaleSheetLayoutView="140" workbookViewId="0">
      <selection activeCell="N358" sqref="N358"/>
    </sheetView>
  </sheetViews>
  <sheetFormatPr defaultRowHeight="27.75" customHeight="1"/>
  <cols>
    <col min="1" max="1" width="3.1640625" style="35" customWidth="1"/>
    <col min="2" max="2" width="39.33203125" style="36" customWidth="1"/>
    <col min="3" max="3" width="21.5" style="35" hidden="1" customWidth="1"/>
    <col min="4" max="4" width="10.83203125" style="35" hidden="1" customWidth="1"/>
    <col min="5" max="5" width="7.33203125" style="136" customWidth="1"/>
    <col min="6" max="6" width="4.33203125" style="136" customWidth="1"/>
    <col min="7" max="7" width="11.33203125" style="136" customWidth="1"/>
    <col min="8" max="9" width="2.33203125" style="136" customWidth="1"/>
    <col min="10" max="10" width="9" style="37" customWidth="1"/>
    <col min="11" max="11" width="8.5" style="37" customWidth="1"/>
    <col min="12" max="12" width="9" style="37" customWidth="1"/>
    <col min="13" max="13" width="7.1640625" style="134" customWidth="1"/>
    <col min="14" max="14" width="11.1640625" style="57" customWidth="1"/>
    <col min="15" max="17" width="8.83203125" style="57" customWidth="1"/>
    <col min="18" max="18" width="11.5" style="57" customWidth="1"/>
    <col min="19" max="19" width="8.33203125" style="57" customWidth="1"/>
    <col min="20" max="20" width="10.6640625" style="57" customWidth="1"/>
    <col min="21" max="21" width="5.5" style="38" customWidth="1"/>
    <col min="22" max="22" width="20.5" style="35" customWidth="1"/>
    <col min="23" max="16384" width="9.33203125" style="35"/>
  </cols>
  <sheetData>
    <row r="1" spans="1:22" ht="16.5" hidden="1" customHeight="1">
      <c r="K1" s="528" t="s">
        <v>375</v>
      </c>
      <c r="L1" s="528"/>
      <c r="M1" s="528"/>
      <c r="N1" s="528"/>
      <c r="O1" s="528"/>
      <c r="P1" s="528"/>
      <c r="Q1" s="528"/>
      <c r="R1" s="528"/>
      <c r="S1" s="528"/>
      <c r="T1" s="528"/>
    </row>
    <row r="2" spans="1:22" ht="27.75" hidden="1" customHeight="1">
      <c r="J2" s="39"/>
      <c r="K2" s="135"/>
      <c r="L2" s="135"/>
      <c r="M2" s="40"/>
      <c r="N2" s="41"/>
      <c r="O2" s="41"/>
      <c r="P2" s="41"/>
      <c r="Q2" s="41"/>
      <c r="R2" s="41"/>
      <c r="S2" s="41"/>
      <c r="T2" s="41"/>
      <c r="U2" s="42"/>
    </row>
    <row r="3" spans="1:22" ht="47.25" customHeight="1">
      <c r="E3" s="299"/>
      <c r="F3" s="299"/>
      <c r="G3" s="299"/>
      <c r="H3" s="299"/>
      <c r="I3" s="299"/>
      <c r="J3" s="39"/>
      <c r="K3" s="296"/>
      <c r="L3" s="296"/>
      <c r="M3" s="40"/>
      <c r="N3" s="41"/>
      <c r="O3" s="41"/>
      <c r="P3" s="41"/>
      <c r="Q3" s="41"/>
      <c r="R3" s="545" t="s">
        <v>1161</v>
      </c>
      <c r="S3" s="545"/>
      <c r="T3" s="545"/>
      <c r="U3" s="545"/>
    </row>
    <row r="4" spans="1:22" ht="51" customHeight="1">
      <c r="E4" s="299"/>
      <c r="F4" s="299"/>
      <c r="G4" s="299"/>
      <c r="H4" s="299"/>
      <c r="I4" s="299"/>
      <c r="J4" s="39"/>
      <c r="K4" s="43"/>
      <c r="L4" s="43"/>
      <c r="M4" s="43"/>
      <c r="N4" s="518" t="s">
        <v>1162</v>
      </c>
      <c r="O4" s="518"/>
      <c r="P4" s="518"/>
      <c r="Q4" s="518"/>
      <c r="R4" s="518"/>
      <c r="S4" s="518"/>
      <c r="T4" s="518"/>
      <c r="U4" s="518"/>
    </row>
    <row r="5" spans="1:22" ht="1.5" hidden="1" customHeight="1">
      <c r="E5" s="299"/>
      <c r="F5" s="299"/>
      <c r="G5" s="299"/>
      <c r="H5" s="299"/>
      <c r="I5" s="299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</row>
    <row r="6" spans="1:22" ht="14.25" customHeight="1">
      <c r="A6" s="533" t="s">
        <v>1159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</row>
    <row r="7" spans="1:22" ht="22.5" customHeight="1">
      <c r="A7" s="538" t="s">
        <v>457</v>
      </c>
      <c r="B7" s="534" t="s">
        <v>65</v>
      </c>
      <c r="C7" s="294"/>
      <c r="D7" s="294"/>
      <c r="E7" s="538" t="s">
        <v>376</v>
      </c>
      <c r="F7" s="538"/>
      <c r="G7" s="532" t="s">
        <v>377</v>
      </c>
      <c r="H7" s="532" t="s">
        <v>378</v>
      </c>
      <c r="I7" s="532" t="s">
        <v>379</v>
      </c>
      <c r="J7" s="539" t="s">
        <v>66</v>
      </c>
      <c r="K7" s="537" t="s">
        <v>380</v>
      </c>
      <c r="L7" s="537"/>
      <c r="M7" s="543" t="s">
        <v>381</v>
      </c>
      <c r="N7" s="529" t="s">
        <v>67</v>
      </c>
      <c r="O7" s="529"/>
      <c r="P7" s="529"/>
      <c r="Q7" s="529"/>
      <c r="R7" s="529"/>
      <c r="S7" s="530" t="s">
        <v>382</v>
      </c>
      <c r="T7" s="540" t="s">
        <v>383</v>
      </c>
      <c r="U7" s="544" t="s">
        <v>384</v>
      </c>
    </row>
    <row r="8" spans="1:22" ht="18.75" customHeight="1">
      <c r="A8" s="538"/>
      <c r="B8" s="535"/>
      <c r="C8" s="294"/>
      <c r="D8" s="294"/>
      <c r="E8" s="532" t="s">
        <v>463</v>
      </c>
      <c r="F8" s="532" t="s">
        <v>464</v>
      </c>
      <c r="G8" s="532"/>
      <c r="H8" s="532"/>
      <c r="I8" s="532"/>
      <c r="J8" s="539"/>
      <c r="K8" s="539" t="s">
        <v>458</v>
      </c>
      <c r="L8" s="539" t="s">
        <v>385</v>
      </c>
      <c r="M8" s="543"/>
      <c r="N8" s="530" t="s">
        <v>458</v>
      </c>
      <c r="O8" s="529" t="s">
        <v>468</v>
      </c>
      <c r="P8" s="529"/>
      <c r="Q8" s="529"/>
      <c r="R8" s="529"/>
      <c r="S8" s="530"/>
      <c r="T8" s="541"/>
      <c r="U8" s="544"/>
    </row>
    <row r="9" spans="1:22" ht="96.75" customHeight="1">
      <c r="A9" s="538"/>
      <c r="B9" s="535"/>
      <c r="C9" s="294" t="s">
        <v>470</v>
      </c>
      <c r="D9" s="294" t="s">
        <v>471</v>
      </c>
      <c r="E9" s="532"/>
      <c r="F9" s="532"/>
      <c r="G9" s="532"/>
      <c r="H9" s="532"/>
      <c r="I9" s="532"/>
      <c r="J9" s="539"/>
      <c r="K9" s="539"/>
      <c r="L9" s="539"/>
      <c r="M9" s="543"/>
      <c r="N9" s="530"/>
      <c r="O9" s="298" t="s">
        <v>465</v>
      </c>
      <c r="P9" s="298" t="s">
        <v>466</v>
      </c>
      <c r="Q9" s="298" t="s">
        <v>467</v>
      </c>
      <c r="R9" s="298" t="s">
        <v>469</v>
      </c>
      <c r="S9" s="530"/>
      <c r="T9" s="542"/>
      <c r="U9" s="544"/>
    </row>
    <row r="10" spans="1:22" ht="15" customHeight="1">
      <c r="A10" s="538"/>
      <c r="B10" s="536"/>
      <c r="C10" s="294"/>
      <c r="D10" s="294"/>
      <c r="E10" s="532"/>
      <c r="F10" s="532"/>
      <c r="G10" s="532"/>
      <c r="H10" s="532"/>
      <c r="I10" s="532"/>
      <c r="J10" s="303" t="s">
        <v>68</v>
      </c>
      <c r="K10" s="303" t="s">
        <v>68</v>
      </c>
      <c r="L10" s="446" t="s">
        <v>68</v>
      </c>
      <c r="M10" s="44" t="s">
        <v>69</v>
      </c>
      <c r="N10" s="297" t="s">
        <v>70</v>
      </c>
      <c r="O10" s="297" t="s">
        <v>70</v>
      </c>
      <c r="P10" s="297" t="s">
        <v>373</v>
      </c>
      <c r="Q10" s="297" t="s">
        <v>373</v>
      </c>
      <c r="R10" s="297" t="s">
        <v>373</v>
      </c>
      <c r="S10" s="297" t="s">
        <v>386</v>
      </c>
      <c r="T10" s="297" t="s">
        <v>386</v>
      </c>
      <c r="U10" s="544"/>
    </row>
    <row r="11" spans="1:22" ht="12" customHeight="1">
      <c r="A11" s="44">
        <v>1</v>
      </c>
      <c r="B11" s="44">
        <v>2</v>
      </c>
      <c r="C11" s="44"/>
      <c r="D11" s="44"/>
      <c r="E11" s="44">
        <v>3</v>
      </c>
      <c r="F11" s="44">
        <v>4</v>
      </c>
      <c r="G11" s="44">
        <v>5</v>
      </c>
      <c r="H11" s="44">
        <v>6</v>
      </c>
      <c r="I11" s="44">
        <v>7</v>
      </c>
      <c r="J11" s="45">
        <v>8</v>
      </c>
      <c r="K11" s="44">
        <v>9</v>
      </c>
      <c r="L11" s="45">
        <v>10</v>
      </c>
      <c r="M11" s="44">
        <v>11</v>
      </c>
      <c r="N11" s="45">
        <v>12</v>
      </c>
      <c r="O11" s="45">
        <v>13</v>
      </c>
      <c r="P11" s="45">
        <v>14</v>
      </c>
      <c r="Q11" s="45">
        <v>15</v>
      </c>
      <c r="R11" s="45">
        <v>16</v>
      </c>
      <c r="S11" s="45">
        <v>17</v>
      </c>
      <c r="T11" s="45">
        <v>18</v>
      </c>
      <c r="U11" s="46">
        <v>19</v>
      </c>
    </row>
    <row r="12" spans="1:22" ht="9" hidden="1" customHeight="1">
      <c r="A12" s="510" t="s">
        <v>1014</v>
      </c>
      <c r="B12" s="511"/>
      <c r="C12" s="284"/>
      <c r="D12" s="284"/>
      <c r="E12" s="294" t="s">
        <v>387</v>
      </c>
      <c r="F12" s="294" t="s">
        <v>387</v>
      </c>
      <c r="G12" s="294" t="s">
        <v>387</v>
      </c>
      <c r="H12" s="294" t="s">
        <v>387</v>
      </c>
      <c r="I12" s="294" t="s">
        <v>387</v>
      </c>
      <c r="J12" s="297">
        <f>J14+'Приложение 1 КСП 2018-2019 гг'!I10</f>
        <v>2244258.4699999997</v>
      </c>
      <c r="K12" s="320">
        <f>K14+'Приложение 1 КСП 2018-2019 гг'!J10</f>
        <v>1923430.7099999997</v>
      </c>
      <c r="L12" s="332" t="s">
        <v>387</v>
      </c>
      <c r="M12" s="45">
        <f>M14+'Приложение 1 КСП 2018-2019 гг'!K10</f>
        <v>82003</v>
      </c>
      <c r="N12" s="320">
        <f>N14+'Приложение 1 КСП 2018-2019 гг'!L10</f>
        <v>2177744077.4871502</v>
      </c>
      <c r="O12" s="332">
        <f>O14+'Приложение 1 КСП 2018-2019 гг'!M10</f>
        <v>0</v>
      </c>
      <c r="P12" s="332">
        <f>P14+'Приложение 1 КСП 2018-2019 гг'!N10</f>
        <v>0</v>
      </c>
      <c r="Q12" s="332">
        <f>Q14+'Приложение 1 КСП 2018-2019 гг'!O10</f>
        <v>883020.42999999993</v>
      </c>
      <c r="R12" s="332">
        <f>R14+'Приложение 1 КСП 2018-2019 гг'!P10</f>
        <v>2176861057.0571499</v>
      </c>
      <c r="S12" s="294" t="s">
        <v>387</v>
      </c>
      <c r="T12" s="294" t="s">
        <v>387</v>
      </c>
      <c r="U12" s="294" t="s">
        <v>387</v>
      </c>
    </row>
    <row r="13" spans="1:22" ht="11.25" hidden="1" customHeight="1">
      <c r="A13" s="525" t="s">
        <v>1020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7"/>
      <c r="V13" s="48"/>
    </row>
    <row r="14" spans="1:22" ht="9" hidden="1" customHeight="1">
      <c r="A14" s="510" t="s">
        <v>1015</v>
      </c>
      <c r="B14" s="511"/>
      <c r="C14" s="294"/>
      <c r="D14" s="294"/>
      <c r="E14" s="294" t="s">
        <v>387</v>
      </c>
      <c r="F14" s="294" t="s">
        <v>387</v>
      </c>
      <c r="G14" s="294" t="s">
        <v>387</v>
      </c>
      <c r="H14" s="294" t="s">
        <v>387</v>
      </c>
      <c r="I14" s="294" t="s">
        <v>387</v>
      </c>
      <c r="J14" s="297">
        <f t="shared" ref="J14:R14" si="0">J131+J143+J156+J161+J169+J173+J179+J182+J199+J203+J206+J209+J213+J216+J219+J222+J235+J239+J242+J245+J249+J253+J256+J264+J268+J274+J278+J281+J285+J288+J292+J295+J298+J302+J306+J312+J316+J319+J322+J326+J332+J337+J341+J357</f>
        <v>621731.20000000007</v>
      </c>
      <c r="K14" s="297">
        <f t="shared" si="0"/>
        <v>543013.96999999974</v>
      </c>
      <c r="L14" s="297">
        <f t="shared" si="0"/>
        <v>509230.16999999981</v>
      </c>
      <c r="M14" s="47">
        <f t="shared" si="0"/>
        <v>23413</v>
      </c>
      <c r="N14" s="297">
        <f t="shared" si="0"/>
        <v>582959226.02999973</v>
      </c>
      <c r="O14" s="297">
        <f t="shared" si="0"/>
        <v>0</v>
      </c>
      <c r="P14" s="297">
        <f t="shared" si="0"/>
        <v>0</v>
      </c>
      <c r="Q14" s="297">
        <f t="shared" si="0"/>
        <v>683020.42999999993</v>
      </c>
      <c r="R14" s="297">
        <f t="shared" si="0"/>
        <v>582276205.59999967</v>
      </c>
      <c r="S14" s="294" t="s">
        <v>387</v>
      </c>
      <c r="T14" s="294" t="s">
        <v>387</v>
      </c>
      <c r="U14" s="294" t="s">
        <v>387</v>
      </c>
    </row>
    <row r="15" spans="1:22" ht="9" hidden="1" customHeight="1">
      <c r="A15" s="519" t="s">
        <v>215</v>
      </c>
      <c r="B15" s="524"/>
      <c r="C15" s="524"/>
      <c r="D15" s="524"/>
      <c r="E15" s="520"/>
      <c r="F15" s="520"/>
      <c r="G15" s="520"/>
      <c r="H15" s="524"/>
      <c r="I15" s="524"/>
      <c r="J15" s="524"/>
      <c r="K15" s="524"/>
      <c r="L15" s="524"/>
      <c r="M15" s="524"/>
      <c r="N15" s="520"/>
      <c r="O15" s="520"/>
      <c r="P15" s="520"/>
      <c r="Q15" s="520"/>
      <c r="R15" s="520"/>
      <c r="S15" s="520"/>
      <c r="T15" s="520"/>
      <c r="U15" s="521"/>
    </row>
    <row r="16" spans="1:22" ht="9" hidden="1" customHeight="1">
      <c r="A16" s="304">
        <v>1</v>
      </c>
      <c r="B16" s="49" t="s">
        <v>110</v>
      </c>
      <c r="C16" s="50" t="s">
        <v>997</v>
      </c>
      <c r="D16" s="50"/>
      <c r="E16" s="51">
        <v>1973</v>
      </c>
      <c r="F16" s="52">
        <v>1984</v>
      </c>
      <c r="G16" s="53" t="s">
        <v>208</v>
      </c>
      <c r="H16" s="54">
        <v>5</v>
      </c>
      <c r="I16" s="54">
        <v>4</v>
      </c>
      <c r="J16" s="55">
        <v>3643.6</v>
      </c>
      <c r="K16" s="55">
        <v>3323.6</v>
      </c>
      <c r="L16" s="55">
        <v>3216.8</v>
      </c>
      <c r="M16" s="54">
        <v>166</v>
      </c>
      <c r="N16" s="56">
        <f>'Приложение 2'!E19</f>
        <v>2179864.48</v>
      </c>
      <c r="O16" s="297">
        <v>0</v>
      </c>
      <c r="P16" s="297">
        <v>0</v>
      </c>
      <c r="Q16" s="297">
        <v>0</v>
      </c>
      <c r="R16" s="297">
        <f>N16</f>
        <v>2179864.48</v>
      </c>
      <c r="S16" s="297">
        <f>N16/K16</f>
        <v>655.87449753279577</v>
      </c>
      <c r="T16" s="297">
        <v>4180</v>
      </c>
      <c r="U16" s="46" t="s">
        <v>225</v>
      </c>
    </row>
    <row r="17" spans="1:21" ht="9" hidden="1" customHeight="1">
      <c r="A17" s="304">
        <v>2</v>
      </c>
      <c r="B17" s="49" t="s">
        <v>111</v>
      </c>
      <c r="C17" s="50" t="s">
        <v>997</v>
      </c>
      <c r="D17" s="50"/>
      <c r="E17" s="51">
        <v>1982</v>
      </c>
      <c r="F17" s="58"/>
      <c r="G17" s="53" t="s">
        <v>87</v>
      </c>
      <c r="H17" s="54">
        <v>2</v>
      </c>
      <c r="I17" s="54">
        <v>2</v>
      </c>
      <c r="J17" s="55">
        <v>983.7</v>
      </c>
      <c r="K17" s="55">
        <v>870.2</v>
      </c>
      <c r="L17" s="55">
        <v>870.2</v>
      </c>
      <c r="M17" s="54">
        <v>60</v>
      </c>
      <c r="N17" s="56">
        <f>'Приложение 2'!E20</f>
        <v>1698892.44</v>
      </c>
      <c r="O17" s="297">
        <v>0</v>
      </c>
      <c r="P17" s="297">
        <v>0</v>
      </c>
      <c r="Q17" s="297">
        <v>0</v>
      </c>
      <c r="R17" s="297">
        <f t="shared" ref="R17:R72" si="1">N17</f>
        <v>1698892.44</v>
      </c>
      <c r="S17" s="319">
        <f t="shared" ref="S17:S80" si="2">N17/K17</f>
        <v>1952.30112617789</v>
      </c>
      <c r="T17" s="297">
        <v>4180</v>
      </c>
      <c r="U17" s="46" t="s">
        <v>225</v>
      </c>
    </row>
    <row r="18" spans="1:21" ht="9" hidden="1" customHeight="1">
      <c r="A18" s="304">
        <v>3</v>
      </c>
      <c r="B18" s="49" t="s">
        <v>112</v>
      </c>
      <c r="C18" s="50" t="s">
        <v>998</v>
      </c>
      <c r="D18" s="50"/>
      <c r="E18" s="51">
        <v>1957</v>
      </c>
      <c r="F18" s="52">
        <v>1975</v>
      </c>
      <c r="G18" s="53" t="s">
        <v>87</v>
      </c>
      <c r="H18" s="54">
        <v>5</v>
      </c>
      <c r="I18" s="54">
        <v>9</v>
      </c>
      <c r="J18" s="55">
        <v>11632.7</v>
      </c>
      <c r="K18" s="55">
        <v>10771.7</v>
      </c>
      <c r="L18" s="55">
        <v>7248.9</v>
      </c>
      <c r="M18" s="54">
        <v>249</v>
      </c>
      <c r="N18" s="56">
        <f>'Приложение 2'!E21</f>
        <v>10834027.82</v>
      </c>
      <c r="O18" s="297">
        <v>0</v>
      </c>
      <c r="P18" s="297">
        <v>0</v>
      </c>
      <c r="Q18" s="297">
        <v>0</v>
      </c>
      <c r="R18" s="297">
        <f t="shared" si="1"/>
        <v>10834027.82</v>
      </c>
      <c r="S18" s="319">
        <f t="shared" si="2"/>
        <v>1005.7862565797413</v>
      </c>
      <c r="T18" s="297">
        <v>4503.95</v>
      </c>
      <c r="U18" s="46" t="s">
        <v>225</v>
      </c>
    </row>
    <row r="19" spans="1:21" ht="9" hidden="1" customHeight="1">
      <c r="A19" s="304">
        <v>4</v>
      </c>
      <c r="B19" s="49" t="s">
        <v>113</v>
      </c>
      <c r="C19" s="50" t="s">
        <v>997</v>
      </c>
      <c r="D19" s="50"/>
      <c r="E19" s="59">
        <v>1966</v>
      </c>
      <c r="F19" s="54"/>
      <c r="G19" s="60" t="s">
        <v>89</v>
      </c>
      <c r="H19" s="54">
        <v>5</v>
      </c>
      <c r="I19" s="54">
        <v>4</v>
      </c>
      <c r="J19" s="55">
        <v>3867.5</v>
      </c>
      <c r="K19" s="55">
        <v>3561.5</v>
      </c>
      <c r="L19" s="55">
        <v>3561.5</v>
      </c>
      <c r="M19" s="54">
        <v>160</v>
      </c>
      <c r="N19" s="56">
        <f>'Приложение 2'!E22</f>
        <v>2274921.98</v>
      </c>
      <c r="O19" s="297">
        <v>0</v>
      </c>
      <c r="P19" s="297">
        <v>0</v>
      </c>
      <c r="Q19" s="297">
        <v>0</v>
      </c>
      <c r="R19" s="297">
        <f t="shared" si="1"/>
        <v>2274921.98</v>
      </c>
      <c r="S19" s="319">
        <f t="shared" si="2"/>
        <v>638.75389021479714</v>
      </c>
      <c r="T19" s="297">
        <v>4180</v>
      </c>
      <c r="U19" s="46" t="s">
        <v>225</v>
      </c>
    </row>
    <row r="20" spans="1:21" ht="9" hidden="1" customHeight="1">
      <c r="A20" s="304">
        <v>5</v>
      </c>
      <c r="B20" s="49" t="s">
        <v>114</v>
      </c>
      <c r="C20" s="50" t="s">
        <v>998</v>
      </c>
      <c r="D20" s="50"/>
      <c r="E20" s="51">
        <v>1949</v>
      </c>
      <c r="F20" s="58"/>
      <c r="G20" s="53" t="s">
        <v>207</v>
      </c>
      <c r="H20" s="54">
        <v>2</v>
      </c>
      <c r="I20" s="54">
        <v>1</v>
      </c>
      <c r="J20" s="55">
        <v>579.9</v>
      </c>
      <c r="K20" s="55">
        <v>565</v>
      </c>
      <c r="L20" s="55">
        <v>565</v>
      </c>
      <c r="M20" s="54">
        <v>18</v>
      </c>
      <c r="N20" s="56">
        <f>'Приложение 2'!E23</f>
        <v>1581030.27</v>
      </c>
      <c r="O20" s="297">
        <v>0</v>
      </c>
      <c r="P20" s="297">
        <v>0</v>
      </c>
      <c r="Q20" s="297">
        <v>0</v>
      </c>
      <c r="R20" s="297">
        <f t="shared" si="1"/>
        <v>1581030.27</v>
      </c>
      <c r="S20" s="319">
        <f t="shared" si="2"/>
        <v>2798.2836637168143</v>
      </c>
      <c r="T20" s="297">
        <v>4503.95</v>
      </c>
      <c r="U20" s="46" t="s">
        <v>225</v>
      </c>
    </row>
    <row r="21" spans="1:21" ht="9" hidden="1" customHeight="1">
      <c r="A21" s="304">
        <v>6</v>
      </c>
      <c r="B21" s="49" t="s">
        <v>115</v>
      </c>
      <c r="C21" s="50" t="s">
        <v>997</v>
      </c>
      <c r="D21" s="50"/>
      <c r="E21" s="51">
        <v>1970</v>
      </c>
      <c r="F21" s="52">
        <v>1981</v>
      </c>
      <c r="G21" s="53" t="s">
        <v>87</v>
      </c>
      <c r="H21" s="54">
        <v>9</v>
      </c>
      <c r="I21" s="54">
        <v>1</v>
      </c>
      <c r="J21" s="55">
        <v>2659.7</v>
      </c>
      <c r="K21" s="55">
        <v>2409.6999999999998</v>
      </c>
      <c r="L21" s="55">
        <v>2245.6999999999998</v>
      </c>
      <c r="M21" s="54">
        <v>118</v>
      </c>
      <c r="N21" s="56">
        <f>'Приложение 2'!E24</f>
        <v>1000478.42</v>
      </c>
      <c r="O21" s="297">
        <v>0</v>
      </c>
      <c r="P21" s="297">
        <v>0</v>
      </c>
      <c r="Q21" s="297">
        <v>0</v>
      </c>
      <c r="R21" s="297">
        <f t="shared" si="1"/>
        <v>1000478.42</v>
      </c>
      <c r="S21" s="319">
        <f t="shared" si="2"/>
        <v>415.18795700709637</v>
      </c>
      <c r="T21" s="297">
        <v>4180</v>
      </c>
      <c r="U21" s="46" t="s">
        <v>225</v>
      </c>
    </row>
    <row r="22" spans="1:21" ht="9" hidden="1" customHeight="1">
      <c r="A22" s="304">
        <v>7</v>
      </c>
      <c r="B22" s="49" t="s">
        <v>116</v>
      </c>
      <c r="C22" s="50" t="s">
        <v>997</v>
      </c>
      <c r="D22" s="50"/>
      <c r="E22" s="51">
        <v>1968</v>
      </c>
      <c r="F22" s="58"/>
      <c r="G22" s="60" t="s">
        <v>89</v>
      </c>
      <c r="H22" s="54">
        <v>5</v>
      </c>
      <c r="I22" s="54">
        <v>6</v>
      </c>
      <c r="J22" s="55">
        <v>4962.7</v>
      </c>
      <c r="K22" s="55">
        <v>4538.7</v>
      </c>
      <c r="L22" s="55">
        <v>4538.7</v>
      </c>
      <c r="M22" s="54">
        <v>227</v>
      </c>
      <c r="N22" s="56">
        <f>'Приложение 2'!E25</f>
        <v>2934226.36</v>
      </c>
      <c r="O22" s="297">
        <v>0</v>
      </c>
      <c r="P22" s="297">
        <v>0</v>
      </c>
      <c r="Q22" s="297">
        <v>0</v>
      </c>
      <c r="R22" s="297">
        <f t="shared" si="1"/>
        <v>2934226.36</v>
      </c>
      <c r="S22" s="319">
        <f t="shared" si="2"/>
        <v>646.49048405931217</v>
      </c>
      <c r="T22" s="297">
        <v>4180</v>
      </c>
      <c r="U22" s="46" t="s">
        <v>225</v>
      </c>
    </row>
    <row r="23" spans="1:21" ht="9" hidden="1" customHeight="1">
      <c r="A23" s="304">
        <v>8</v>
      </c>
      <c r="B23" s="49" t="s">
        <v>117</v>
      </c>
      <c r="C23" s="50" t="s">
        <v>997</v>
      </c>
      <c r="D23" s="50"/>
      <c r="E23" s="59">
        <v>1968</v>
      </c>
      <c r="F23" s="54"/>
      <c r="G23" s="60" t="s">
        <v>89</v>
      </c>
      <c r="H23" s="54">
        <v>5</v>
      </c>
      <c r="I23" s="54">
        <v>6</v>
      </c>
      <c r="J23" s="55">
        <v>4925.8100000000004</v>
      </c>
      <c r="K23" s="55">
        <v>4501.8100000000004</v>
      </c>
      <c r="L23" s="55">
        <v>4501.8100000000004</v>
      </c>
      <c r="M23" s="54">
        <v>216</v>
      </c>
      <c r="N23" s="56">
        <f>'Приложение 2'!E26</f>
        <v>2979045.82</v>
      </c>
      <c r="O23" s="297">
        <v>0</v>
      </c>
      <c r="P23" s="297">
        <v>0</v>
      </c>
      <c r="Q23" s="297">
        <v>0</v>
      </c>
      <c r="R23" s="297">
        <f t="shared" si="1"/>
        <v>2979045.82</v>
      </c>
      <c r="S23" s="319">
        <f t="shared" si="2"/>
        <v>661.74401407433891</v>
      </c>
      <c r="T23" s="297">
        <v>4180</v>
      </c>
      <c r="U23" s="46" t="s">
        <v>225</v>
      </c>
    </row>
    <row r="24" spans="1:21" ht="9" hidden="1" customHeight="1">
      <c r="A24" s="304">
        <v>9</v>
      </c>
      <c r="B24" s="23" t="s">
        <v>408</v>
      </c>
      <c r="C24" s="50" t="s">
        <v>999</v>
      </c>
      <c r="D24" s="50"/>
      <c r="E24" s="59">
        <v>1987</v>
      </c>
      <c r="F24" s="54"/>
      <c r="G24" s="60" t="s">
        <v>87</v>
      </c>
      <c r="H24" s="54">
        <v>14</v>
      </c>
      <c r="I24" s="54">
        <v>1</v>
      </c>
      <c r="J24" s="55">
        <v>5014</v>
      </c>
      <c r="K24" s="55">
        <v>4452.8</v>
      </c>
      <c r="L24" s="55">
        <v>4452.8</v>
      </c>
      <c r="M24" s="54">
        <v>210</v>
      </c>
      <c r="N24" s="56">
        <f>'Приложение 2'!E27</f>
        <v>2909823.25</v>
      </c>
      <c r="O24" s="297">
        <v>0</v>
      </c>
      <c r="P24" s="297">
        <v>0</v>
      </c>
      <c r="Q24" s="297">
        <v>0</v>
      </c>
      <c r="R24" s="297">
        <f t="shared" si="1"/>
        <v>2909823.25</v>
      </c>
      <c r="S24" s="319">
        <f t="shared" si="2"/>
        <v>653.4816856809199</v>
      </c>
      <c r="T24" s="297">
        <f>3090099.49*'Приложение 2'!G27/'Приложение 1'!K24</f>
        <v>693.96772592526054</v>
      </c>
      <c r="U24" s="46" t="s">
        <v>225</v>
      </c>
    </row>
    <row r="25" spans="1:21" ht="9" hidden="1" customHeight="1">
      <c r="A25" s="304">
        <v>10</v>
      </c>
      <c r="B25" s="49" t="s">
        <v>118</v>
      </c>
      <c r="C25" s="50" t="s">
        <v>997</v>
      </c>
      <c r="D25" s="50"/>
      <c r="E25" s="51">
        <v>1978</v>
      </c>
      <c r="F25" s="58"/>
      <c r="G25" s="60" t="s">
        <v>89</v>
      </c>
      <c r="H25" s="54">
        <v>5</v>
      </c>
      <c r="I25" s="54">
        <v>4</v>
      </c>
      <c r="J25" s="55">
        <v>3572.8</v>
      </c>
      <c r="K25" s="55">
        <v>3352</v>
      </c>
      <c r="L25" s="55">
        <v>3352</v>
      </c>
      <c r="M25" s="54">
        <v>156</v>
      </c>
      <c r="N25" s="56">
        <f>'Приложение 2'!E28</f>
        <v>2260048.5099999998</v>
      </c>
      <c r="O25" s="297">
        <v>0</v>
      </c>
      <c r="P25" s="297">
        <v>0</v>
      </c>
      <c r="Q25" s="297">
        <v>0</v>
      </c>
      <c r="R25" s="297">
        <f t="shared" si="1"/>
        <v>2260048.5099999998</v>
      </c>
      <c r="S25" s="319">
        <f t="shared" si="2"/>
        <v>674.23881563245811</v>
      </c>
      <c r="T25" s="297">
        <v>4180</v>
      </c>
      <c r="U25" s="46" t="s">
        <v>225</v>
      </c>
    </row>
    <row r="26" spans="1:21" ht="9" hidden="1" customHeight="1">
      <c r="A26" s="304">
        <v>11</v>
      </c>
      <c r="B26" s="49" t="s">
        <v>119</v>
      </c>
      <c r="C26" s="50" t="s">
        <v>1000</v>
      </c>
      <c r="D26" s="50"/>
      <c r="E26" s="51">
        <v>1980</v>
      </c>
      <c r="F26" s="58"/>
      <c r="G26" s="53" t="s">
        <v>87</v>
      </c>
      <c r="H26" s="54">
        <v>5</v>
      </c>
      <c r="I26" s="54">
        <v>5</v>
      </c>
      <c r="J26" s="55">
        <v>4893.7</v>
      </c>
      <c r="K26" s="55">
        <v>4311.7</v>
      </c>
      <c r="L26" s="55">
        <v>3831.8</v>
      </c>
      <c r="M26" s="54">
        <v>178</v>
      </c>
      <c r="N26" s="56">
        <f>'Приложение 2'!E29</f>
        <v>4502034.7</v>
      </c>
      <c r="O26" s="297">
        <v>0</v>
      </c>
      <c r="P26" s="297">
        <v>0</v>
      </c>
      <c r="Q26" s="297">
        <v>0</v>
      </c>
      <c r="R26" s="297">
        <f t="shared" si="1"/>
        <v>4502034.7</v>
      </c>
      <c r="S26" s="319">
        <f t="shared" si="2"/>
        <v>1044.1437715982097</v>
      </c>
      <c r="T26" s="297">
        <v>4984.6499999999996</v>
      </c>
      <c r="U26" s="46" t="s">
        <v>225</v>
      </c>
    </row>
    <row r="27" spans="1:21" ht="9" hidden="1" customHeight="1">
      <c r="A27" s="304">
        <v>12</v>
      </c>
      <c r="B27" s="49" t="s">
        <v>120</v>
      </c>
      <c r="C27" s="50" t="s">
        <v>998</v>
      </c>
      <c r="D27" s="50"/>
      <c r="E27" s="51">
        <v>1953</v>
      </c>
      <c r="F27" s="58"/>
      <c r="G27" s="53" t="s">
        <v>87</v>
      </c>
      <c r="H27" s="54">
        <v>2</v>
      </c>
      <c r="I27" s="54">
        <v>1</v>
      </c>
      <c r="J27" s="55">
        <v>264.89999999999998</v>
      </c>
      <c r="K27" s="55">
        <v>249.9</v>
      </c>
      <c r="L27" s="55">
        <v>249.9</v>
      </c>
      <c r="M27" s="54">
        <v>15</v>
      </c>
      <c r="N27" s="56">
        <f>'Приложение 2'!E30</f>
        <v>838771.23</v>
      </c>
      <c r="O27" s="297">
        <v>0</v>
      </c>
      <c r="P27" s="297">
        <v>0</v>
      </c>
      <c r="Q27" s="297">
        <v>0</v>
      </c>
      <c r="R27" s="297">
        <f t="shared" si="1"/>
        <v>838771.23</v>
      </c>
      <c r="S27" s="319">
        <f t="shared" si="2"/>
        <v>3356.4274909963983</v>
      </c>
      <c r="T27" s="297">
        <v>4503.95</v>
      </c>
      <c r="U27" s="46" t="s">
        <v>225</v>
      </c>
    </row>
    <row r="28" spans="1:21" ht="9" hidden="1" customHeight="1">
      <c r="A28" s="304">
        <v>13</v>
      </c>
      <c r="B28" s="49" t="s">
        <v>121</v>
      </c>
      <c r="C28" s="50" t="s">
        <v>998</v>
      </c>
      <c r="D28" s="50"/>
      <c r="E28" s="51">
        <v>1953</v>
      </c>
      <c r="F28" s="58"/>
      <c r="G28" s="53" t="s">
        <v>87</v>
      </c>
      <c r="H28" s="54">
        <v>2</v>
      </c>
      <c r="I28" s="54">
        <v>1</v>
      </c>
      <c r="J28" s="55">
        <v>459.8</v>
      </c>
      <c r="K28" s="55">
        <v>416.8</v>
      </c>
      <c r="L28" s="55">
        <v>287.7</v>
      </c>
      <c r="M28" s="54">
        <v>12</v>
      </c>
      <c r="N28" s="56">
        <f>'Приложение 2'!E31</f>
        <v>1285344.3999999999</v>
      </c>
      <c r="O28" s="297">
        <v>0</v>
      </c>
      <c r="P28" s="297">
        <v>0</v>
      </c>
      <c r="Q28" s="297">
        <v>0</v>
      </c>
      <c r="R28" s="297">
        <f t="shared" si="1"/>
        <v>1285344.3999999999</v>
      </c>
      <c r="S28" s="319">
        <f t="shared" si="2"/>
        <v>3083.8397312859884</v>
      </c>
      <c r="T28" s="297">
        <v>4503.95</v>
      </c>
      <c r="U28" s="46" t="s">
        <v>225</v>
      </c>
    </row>
    <row r="29" spans="1:21" ht="9" hidden="1" customHeight="1">
      <c r="A29" s="304">
        <v>14</v>
      </c>
      <c r="B29" s="49" t="s">
        <v>122</v>
      </c>
      <c r="C29" s="50" t="s">
        <v>998</v>
      </c>
      <c r="D29" s="50"/>
      <c r="E29" s="51">
        <v>1955</v>
      </c>
      <c r="F29" s="58"/>
      <c r="G29" s="53" t="s">
        <v>87</v>
      </c>
      <c r="H29" s="54">
        <v>2</v>
      </c>
      <c r="I29" s="54">
        <v>3</v>
      </c>
      <c r="J29" s="55">
        <v>950.9</v>
      </c>
      <c r="K29" s="55">
        <v>829.9</v>
      </c>
      <c r="L29" s="55">
        <v>711.9</v>
      </c>
      <c r="M29" s="54">
        <v>32</v>
      </c>
      <c r="N29" s="56">
        <f>'Приложение 2'!E32</f>
        <v>2235658.4300000002</v>
      </c>
      <c r="O29" s="297">
        <v>0</v>
      </c>
      <c r="P29" s="297">
        <v>0</v>
      </c>
      <c r="Q29" s="297">
        <v>0</v>
      </c>
      <c r="R29" s="297">
        <f t="shared" si="1"/>
        <v>2235658.4300000002</v>
      </c>
      <c r="S29" s="319">
        <f t="shared" si="2"/>
        <v>2693.8889384263166</v>
      </c>
      <c r="T29" s="297">
        <v>4503.95</v>
      </c>
      <c r="U29" s="46" t="s">
        <v>225</v>
      </c>
    </row>
    <row r="30" spans="1:21" ht="9" hidden="1" customHeight="1">
      <c r="A30" s="304">
        <v>15</v>
      </c>
      <c r="B30" s="49" t="s">
        <v>123</v>
      </c>
      <c r="C30" s="50" t="s">
        <v>1000</v>
      </c>
      <c r="D30" s="50"/>
      <c r="E30" s="59">
        <v>1965</v>
      </c>
      <c r="F30" s="54"/>
      <c r="G30" s="60" t="s">
        <v>89</v>
      </c>
      <c r="H30" s="54">
        <v>5</v>
      </c>
      <c r="I30" s="54">
        <v>4</v>
      </c>
      <c r="J30" s="55">
        <v>4088.45</v>
      </c>
      <c r="K30" s="55">
        <v>3784.45</v>
      </c>
      <c r="L30" s="55">
        <v>3556.75</v>
      </c>
      <c r="M30" s="54">
        <v>166</v>
      </c>
      <c r="N30" s="56">
        <f>'Приложение 2'!E33</f>
        <v>6293754.2000000002</v>
      </c>
      <c r="O30" s="297">
        <v>0</v>
      </c>
      <c r="P30" s="297">
        <v>0</v>
      </c>
      <c r="Q30" s="297">
        <v>0</v>
      </c>
      <c r="R30" s="297">
        <f t="shared" si="1"/>
        <v>6293754.2000000002</v>
      </c>
      <c r="S30" s="319">
        <f t="shared" si="2"/>
        <v>1663.0565075506349</v>
      </c>
      <c r="T30" s="297">
        <v>4984.6499999999996</v>
      </c>
      <c r="U30" s="46" t="s">
        <v>225</v>
      </c>
    </row>
    <row r="31" spans="1:21" ht="9" hidden="1" customHeight="1">
      <c r="A31" s="304">
        <v>16</v>
      </c>
      <c r="B31" s="49" t="s">
        <v>125</v>
      </c>
      <c r="C31" s="50" t="s">
        <v>998</v>
      </c>
      <c r="D31" s="50"/>
      <c r="E31" s="51">
        <v>1957</v>
      </c>
      <c r="F31" s="58"/>
      <c r="G31" s="53" t="s">
        <v>87</v>
      </c>
      <c r="H31" s="54">
        <v>3</v>
      </c>
      <c r="I31" s="54">
        <v>3</v>
      </c>
      <c r="J31" s="55">
        <v>1048</v>
      </c>
      <c r="K31" s="55">
        <v>975</v>
      </c>
      <c r="L31" s="55">
        <v>779.9</v>
      </c>
      <c r="M31" s="54">
        <v>32</v>
      </c>
      <c r="N31" s="56">
        <f>'Приложение 2'!E34</f>
        <v>2934840.13</v>
      </c>
      <c r="O31" s="297">
        <v>0</v>
      </c>
      <c r="P31" s="297">
        <v>0</v>
      </c>
      <c r="Q31" s="297">
        <v>0</v>
      </c>
      <c r="R31" s="297">
        <f t="shared" si="1"/>
        <v>2934840.13</v>
      </c>
      <c r="S31" s="319">
        <f t="shared" si="2"/>
        <v>3010.0924410256407</v>
      </c>
      <c r="T31" s="297">
        <v>4503.95</v>
      </c>
      <c r="U31" s="46" t="s">
        <v>225</v>
      </c>
    </row>
    <row r="32" spans="1:21" ht="9" hidden="1" customHeight="1">
      <c r="A32" s="304">
        <v>17</v>
      </c>
      <c r="B32" s="49" t="s">
        <v>126</v>
      </c>
      <c r="C32" s="50" t="s">
        <v>998</v>
      </c>
      <c r="D32" s="50"/>
      <c r="E32" s="51">
        <v>1957</v>
      </c>
      <c r="F32" s="58"/>
      <c r="G32" s="53" t="s">
        <v>87</v>
      </c>
      <c r="H32" s="54">
        <v>2</v>
      </c>
      <c r="I32" s="54">
        <v>2</v>
      </c>
      <c r="J32" s="55">
        <v>695.2</v>
      </c>
      <c r="K32" s="55">
        <v>602.20000000000005</v>
      </c>
      <c r="L32" s="55">
        <v>602.20000000000005</v>
      </c>
      <c r="M32" s="54">
        <v>28</v>
      </c>
      <c r="N32" s="56">
        <f>'Приложение 2'!E35</f>
        <v>1840661.3</v>
      </c>
      <c r="O32" s="297">
        <v>0</v>
      </c>
      <c r="P32" s="297">
        <v>0</v>
      </c>
      <c r="Q32" s="297">
        <v>0</v>
      </c>
      <c r="R32" s="297">
        <f t="shared" si="1"/>
        <v>1840661.3</v>
      </c>
      <c r="S32" s="319">
        <f t="shared" si="2"/>
        <v>3056.5614413816006</v>
      </c>
      <c r="T32" s="297">
        <v>4503.95</v>
      </c>
      <c r="U32" s="46" t="s">
        <v>225</v>
      </c>
    </row>
    <row r="33" spans="1:21" ht="9" hidden="1" customHeight="1">
      <c r="A33" s="304">
        <v>18</v>
      </c>
      <c r="B33" s="49" t="s">
        <v>127</v>
      </c>
      <c r="C33" s="50" t="s">
        <v>998</v>
      </c>
      <c r="D33" s="50"/>
      <c r="E33" s="51">
        <v>1956</v>
      </c>
      <c r="F33" s="58"/>
      <c r="G33" s="53" t="s">
        <v>87</v>
      </c>
      <c r="H33" s="54">
        <v>3</v>
      </c>
      <c r="I33" s="54">
        <v>3</v>
      </c>
      <c r="J33" s="55">
        <v>1188.0999999999999</v>
      </c>
      <c r="K33" s="55">
        <v>981.1</v>
      </c>
      <c r="L33" s="55">
        <v>805.2</v>
      </c>
      <c r="M33" s="54">
        <v>32</v>
      </c>
      <c r="N33" s="56">
        <f>'Приложение 2'!E36</f>
        <v>2481689.17</v>
      </c>
      <c r="O33" s="297">
        <v>0</v>
      </c>
      <c r="P33" s="297">
        <v>0</v>
      </c>
      <c r="Q33" s="297">
        <v>0</v>
      </c>
      <c r="R33" s="297">
        <f t="shared" si="1"/>
        <v>2481689.17</v>
      </c>
      <c r="S33" s="319">
        <f t="shared" si="2"/>
        <v>2529.4966568137802</v>
      </c>
      <c r="T33" s="297">
        <v>4503.95</v>
      </c>
      <c r="U33" s="46" t="s">
        <v>225</v>
      </c>
    </row>
    <row r="34" spans="1:21" ht="9" hidden="1" customHeight="1">
      <c r="A34" s="304">
        <v>19</v>
      </c>
      <c r="B34" s="49" t="s">
        <v>128</v>
      </c>
      <c r="C34" s="50" t="s">
        <v>1001</v>
      </c>
      <c r="D34" s="50"/>
      <c r="E34" s="51">
        <v>1983</v>
      </c>
      <c r="F34" s="58"/>
      <c r="G34" s="60" t="s">
        <v>89</v>
      </c>
      <c r="H34" s="54">
        <v>12</v>
      </c>
      <c r="I34" s="54">
        <v>6</v>
      </c>
      <c r="J34" s="55">
        <v>16312.4</v>
      </c>
      <c r="K34" s="55">
        <v>14748.4</v>
      </c>
      <c r="L34" s="55">
        <v>14701.4</v>
      </c>
      <c r="M34" s="54">
        <v>711</v>
      </c>
      <c r="N34" s="56">
        <f>'Приложение 2'!E37</f>
        <v>16873685.969999999</v>
      </c>
      <c r="O34" s="297">
        <v>0</v>
      </c>
      <c r="P34" s="297">
        <v>0</v>
      </c>
      <c r="Q34" s="297">
        <v>0</v>
      </c>
      <c r="R34" s="297">
        <f t="shared" si="1"/>
        <v>16873685.969999999</v>
      </c>
      <c r="S34" s="319">
        <f t="shared" si="2"/>
        <v>1144.1028158986737</v>
      </c>
      <c r="T34" s="297">
        <v>2194.5</v>
      </c>
      <c r="U34" s="46" t="s">
        <v>225</v>
      </c>
    </row>
    <row r="35" spans="1:21" ht="9" hidden="1" customHeight="1">
      <c r="A35" s="304">
        <v>20</v>
      </c>
      <c r="B35" s="49" t="s">
        <v>129</v>
      </c>
      <c r="C35" s="50" t="s">
        <v>998</v>
      </c>
      <c r="D35" s="50"/>
      <c r="E35" s="51">
        <v>1959</v>
      </c>
      <c r="F35" s="58"/>
      <c r="G35" s="53" t="s">
        <v>87</v>
      </c>
      <c r="H35" s="54">
        <v>2</v>
      </c>
      <c r="I35" s="54">
        <v>2</v>
      </c>
      <c r="J35" s="55">
        <v>686.7</v>
      </c>
      <c r="K35" s="55">
        <v>638.29999999999995</v>
      </c>
      <c r="L35" s="55">
        <v>638.29999999999995</v>
      </c>
      <c r="M35" s="54">
        <v>29</v>
      </c>
      <c r="N35" s="56">
        <f>'Приложение 2'!E38</f>
        <v>1926039.32</v>
      </c>
      <c r="O35" s="297">
        <v>0</v>
      </c>
      <c r="P35" s="297">
        <v>0</v>
      </c>
      <c r="Q35" s="297">
        <v>0</v>
      </c>
      <c r="R35" s="297">
        <f t="shared" si="1"/>
        <v>1926039.32</v>
      </c>
      <c r="S35" s="319">
        <f t="shared" si="2"/>
        <v>3017.4515431615232</v>
      </c>
      <c r="T35" s="297">
        <v>4503.95</v>
      </c>
      <c r="U35" s="46" t="s">
        <v>225</v>
      </c>
    </row>
    <row r="36" spans="1:21" ht="9" hidden="1" customHeight="1">
      <c r="A36" s="304">
        <v>21</v>
      </c>
      <c r="B36" s="49" t="s">
        <v>130</v>
      </c>
      <c r="C36" s="50" t="s">
        <v>998</v>
      </c>
      <c r="D36" s="50"/>
      <c r="E36" s="51">
        <v>1959</v>
      </c>
      <c r="F36" s="58"/>
      <c r="G36" s="53" t="s">
        <v>87</v>
      </c>
      <c r="H36" s="54">
        <v>2</v>
      </c>
      <c r="I36" s="54">
        <v>2</v>
      </c>
      <c r="J36" s="55">
        <v>686.1</v>
      </c>
      <c r="K36" s="55">
        <v>639.9</v>
      </c>
      <c r="L36" s="55">
        <v>639.9</v>
      </c>
      <c r="M36" s="54">
        <v>32</v>
      </c>
      <c r="N36" s="56">
        <f>'Приложение 2'!E39</f>
        <v>1947900.92</v>
      </c>
      <c r="O36" s="297">
        <v>0</v>
      </c>
      <c r="P36" s="297">
        <v>0</v>
      </c>
      <c r="Q36" s="297">
        <v>0</v>
      </c>
      <c r="R36" s="297">
        <f t="shared" si="1"/>
        <v>1947900.92</v>
      </c>
      <c r="S36" s="319">
        <f t="shared" si="2"/>
        <v>3044.0708235661823</v>
      </c>
      <c r="T36" s="297">
        <v>4503.95</v>
      </c>
      <c r="U36" s="46" t="s">
        <v>225</v>
      </c>
    </row>
    <row r="37" spans="1:21" ht="9" hidden="1" customHeight="1">
      <c r="A37" s="304">
        <v>22</v>
      </c>
      <c r="B37" s="49" t="s">
        <v>131</v>
      </c>
      <c r="C37" s="50" t="s">
        <v>1001</v>
      </c>
      <c r="D37" s="50"/>
      <c r="E37" s="51">
        <v>1965</v>
      </c>
      <c r="F37" s="58"/>
      <c r="G37" s="53" t="s">
        <v>87</v>
      </c>
      <c r="H37" s="54">
        <v>5</v>
      </c>
      <c r="I37" s="54">
        <v>4</v>
      </c>
      <c r="J37" s="55">
        <v>3847.8</v>
      </c>
      <c r="K37" s="55">
        <v>3555.8</v>
      </c>
      <c r="L37" s="55">
        <v>3555.8</v>
      </c>
      <c r="M37" s="54">
        <v>181</v>
      </c>
      <c r="N37" s="56">
        <f>'Приложение 2'!E40</f>
        <v>4092005.44</v>
      </c>
      <c r="O37" s="297">
        <v>0</v>
      </c>
      <c r="P37" s="297">
        <v>0</v>
      </c>
      <c r="Q37" s="297">
        <v>0</v>
      </c>
      <c r="R37" s="297">
        <f t="shared" si="1"/>
        <v>4092005.44</v>
      </c>
      <c r="S37" s="319">
        <f t="shared" si="2"/>
        <v>1150.7974126778784</v>
      </c>
      <c r="T37" s="297">
        <v>3929.2</v>
      </c>
      <c r="U37" s="46" t="s">
        <v>225</v>
      </c>
    </row>
    <row r="38" spans="1:21" ht="9" hidden="1" customHeight="1">
      <c r="A38" s="304">
        <v>23</v>
      </c>
      <c r="B38" s="49" t="s">
        <v>132</v>
      </c>
      <c r="C38" s="50" t="s">
        <v>997</v>
      </c>
      <c r="D38" s="50"/>
      <c r="E38" s="51">
        <v>1963</v>
      </c>
      <c r="F38" s="58"/>
      <c r="G38" s="60" t="s">
        <v>89</v>
      </c>
      <c r="H38" s="54">
        <v>5</v>
      </c>
      <c r="I38" s="54">
        <v>4</v>
      </c>
      <c r="J38" s="55">
        <v>3814.7</v>
      </c>
      <c r="K38" s="55">
        <v>3514.7</v>
      </c>
      <c r="L38" s="55">
        <v>3424.2</v>
      </c>
      <c r="M38" s="54">
        <v>183</v>
      </c>
      <c r="N38" s="56">
        <f>'Приложение 2'!E41</f>
        <v>3859085.66</v>
      </c>
      <c r="O38" s="297">
        <v>0</v>
      </c>
      <c r="P38" s="297">
        <v>0</v>
      </c>
      <c r="Q38" s="297">
        <v>0</v>
      </c>
      <c r="R38" s="297">
        <f t="shared" si="1"/>
        <v>3859085.66</v>
      </c>
      <c r="S38" s="319">
        <f t="shared" si="2"/>
        <v>1097.9843685094036</v>
      </c>
      <c r="T38" s="297">
        <v>4180</v>
      </c>
      <c r="U38" s="46" t="s">
        <v>225</v>
      </c>
    </row>
    <row r="39" spans="1:21" ht="9" hidden="1" customHeight="1">
      <c r="A39" s="304">
        <v>24</v>
      </c>
      <c r="B39" s="49" t="s">
        <v>133</v>
      </c>
      <c r="C39" s="50" t="s">
        <v>998</v>
      </c>
      <c r="D39" s="50"/>
      <c r="E39" s="51">
        <v>1951</v>
      </c>
      <c r="F39" s="58"/>
      <c r="G39" s="53" t="s">
        <v>207</v>
      </c>
      <c r="H39" s="54">
        <v>2</v>
      </c>
      <c r="I39" s="54">
        <v>3</v>
      </c>
      <c r="J39" s="55">
        <v>918.7</v>
      </c>
      <c r="K39" s="55">
        <v>822.7</v>
      </c>
      <c r="L39" s="55">
        <v>822.7</v>
      </c>
      <c r="M39" s="54">
        <v>36</v>
      </c>
      <c r="N39" s="56">
        <f>'Приложение 2'!E42</f>
        <v>2413625.36</v>
      </c>
      <c r="O39" s="297">
        <v>0</v>
      </c>
      <c r="P39" s="297">
        <v>0</v>
      </c>
      <c r="Q39" s="297">
        <v>0</v>
      </c>
      <c r="R39" s="297">
        <f t="shared" si="1"/>
        <v>2413625.36</v>
      </c>
      <c r="S39" s="319">
        <f t="shared" si="2"/>
        <v>2933.7855354321136</v>
      </c>
      <c r="T39" s="297">
        <v>4503.95</v>
      </c>
      <c r="U39" s="46" t="s">
        <v>225</v>
      </c>
    </row>
    <row r="40" spans="1:21" ht="9" hidden="1" customHeight="1">
      <c r="A40" s="304">
        <v>25</v>
      </c>
      <c r="B40" s="49" t="s">
        <v>134</v>
      </c>
      <c r="C40" s="50" t="s">
        <v>998</v>
      </c>
      <c r="D40" s="50"/>
      <c r="E40" s="51">
        <v>1958</v>
      </c>
      <c r="F40" s="52">
        <v>1985</v>
      </c>
      <c r="G40" s="53" t="s">
        <v>87</v>
      </c>
      <c r="H40" s="54">
        <v>2</v>
      </c>
      <c r="I40" s="54">
        <v>2</v>
      </c>
      <c r="J40" s="55">
        <v>532.70000000000005</v>
      </c>
      <c r="K40" s="55">
        <v>503.1</v>
      </c>
      <c r="L40" s="55">
        <v>503.1</v>
      </c>
      <c r="M40" s="54">
        <v>22</v>
      </c>
      <c r="N40" s="56">
        <f>'Приложение 2'!E43</f>
        <v>1676476.44</v>
      </c>
      <c r="O40" s="297">
        <v>0</v>
      </c>
      <c r="P40" s="297">
        <v>0</v>
      </c>
      <c r="Q40" s="297">
        <v>0</v>
      </c>
      <c r="R40" s="297">
        <f t="shared" si="1"/>
        <v>1676476.44</v>
      </c>
      <c r="S40" s="319">
        <f t="shared" si="2"/>
        <v>3332.2926654740604</v>
      </c>
      <c r="T40" s="297">
        <v>4503.95</v>
      </c>
      <c r="U40" s="46" t="s">
        <v>225</v>
      </c>
    </row>
    <row r="41" spans="1:21" ht="9" hidden="1" customHeight="1">
      <c r="A41" s="304">
        <v>26</v>
      </c>
      <c r="B41" s="49" t="s">
        <v>135</v>
      </c>
      <c r="C41" s="50" t="s">
        <v>997</v>
      </c>
      <c r="D41" s="50"/>
      <c r="E41" s="59">
        <v>1973</v>
      </c>
      <c r="F41" s="54"/>
      <c r="G41" s="53" t="s">
        <v>87</v>
      </c>
      <c r="H41" s="54">
        <v>5</v>
      </c>
      <c r="I41" s="54">
        <v>3</v>
      </c>
      <c r="J41" s="55">
        <v>4062.2</v>
      </c>
      <c r="K41" s="55">
        <v>2442.4</v>
      </c>
      <c r="L41" s="55">
        <v>2256.6</v>
      </c>
      <c r="M41" s="54">
        <v>226</v>
      </c>
      <c r="N41" s="56">
        <f>'Приложение 2'!E44</f>
        <v>3253567.42</v>
      </c>
      <c r="O41" s="297">
        <v>0</v>
      </c>
      <c r="P41" s="297">
        <v>0</v>
      </c>
      <c r="Q41" s="297">
        <v>0</v>
      </c>
      <c r="R41" s="297">
        <f t="shared" si="1"/>
        <v>3253567.42</v>
      </c>
      <c r="S41" s="319">
        <f t="shared" si="2"/>
        <v>1332.1189895185064</v>
      </c>
      <c r="T41" s="297">
        <v>4180</v>
      </c>
      <c r="U41" s="46" t="s">
        <v>225</v>
      </c>
    </row>
    <row r="42" spans="1:21" ht="9" hidden="1" customHeight="1">
      <c r="A42" s="304">
        <v>27</v>
      </c>
      <c r="B42" s="49" t="s">
        <v>136</v>
      </c>
      <c r="C42" s="50" t="s">
        <v>1000</v>
      </c>
      <c r="D42" s="50"/>
      <c r="E42" s="59">
        <v>1965</v>
      </c>
      <c r="F42" s="54"/>
      <c r="G42" s="60" t="s">
        <v>89</v>
      </c>
      <c r="H42" s="54">
        <v>5</v>
      </c>
      <c r="I42" s="54">
        <v>3</v>
      </c>
      <c r="J42" s="55">
        <v>2847.7</v>
      </c>
      <c r="K42" s="55">
        <v>2616.6999999999998</v>
      </c>
      <c r="L42" s="55">
        <v>2616.6999999999998</v>
      </c>
      <c r="M42" s="54">
        <v>117</v>
      </c>
      <c r="N42" s="56">
        <f>'Приложение 2'!E45</f>
        <v>4482770.3499999996</v>
      </c>
      <c r="O42" s="297">
        <v>0</v>
      </c>
      <c r="P42" s="297">
        <v>0</v>
      </c>
      <c r="Q42" s="297">
        <v>0</v>
      </c>
      <c r="R42" s="297">
        <f t="shared" si="1"/>
        <v>4482770.3499999996</v>
      </c>
      <c r="S42" s="319">
        <f t="shared" si="2"/>
        <v>1713.1388198876448</v>
      </c>
      <c r="T42" s="297">
        <v>4984.6499999999996</v>
      </c>
      <c r="U42" s="46" t="s">
        <v>225</v>
      </c>
    </row>
    <row r="43" spans="1:21" ht="9" hidden="1" customHeight="1">
      <c r="A43" s="304">
        <v>28</v>
      </c>
      <c r="B43" s="49" t="s">
        <v>137</v>
      </c>
      <c r="C43" s="50" t="s">
        <v>998</v>
      </c>
      <c r="D43" s="50"/>
      <c r="E43" s="59">
        <v>1936</v>
      </c>
      <c r="F43" s="54"/>
      <c r="G43" s="60" t="s">
        <v>87</v>
      </c>
      <c r="H43" s="54">
        <v>2</v>
      </c>
      <c r="I43" s="54">
        <v>2</v>
      </c>
      <c r="J43" s="55">
        <v>433.8</v>
      </c>
      <c r="K43" s="55">
        <v>379.8</v>
      </c>
      <c r="L43" s="55">
        <v>379.8</v>
      </c>
      <c r="M43" s="54">
        <v>28</v>
      </c>
      <c r="N43" s="56">
        <f>'Приложение 2'!E46</f>
        <v>1282926.6499999999</v>
      </c>
      <c r="O43" s="297">
        <v>0</v>
      </c>
      <c r="P43" s="297">
        <v>0</v>
      </c>
      <c r="Q43" s="297">
        <v>0</v>
      </c>
      <c r="R43" s="297">
        <f t="shared" si="1"/>
        <v>1282926.6499999999</v>
      </c>
      <c r="S43" s="319">
        <f t="shared" si="2"/>
        <v>3377.900605581885</v>
      </c>
      <c r="T43" s="297">
        <v>4503.95</v>
      </c>
      <c r="U43" s="46" t="s">
        <v>225</v>
      </c>
    </row>
    <row r="44" spans="1:21" ht="9" hidden="1" customHeight="1">
      <c r="A44" s="304">
        <v>29</v>
      </c>
      <c r="B44" s="49" t="s">
        <v>138</v>
      </c>
      <c r="C44" s="50" t="s">
        <v>998</v>
      </c>
      <c r="D44" s="50"/>
      <c r="E44" s="51">
        <v>1963</v>
      </c>
      <c r="F44" s="58"/>
      <c r="G44" s="60" t="s">
        <v>87</v>
      </c>
      <c r="H44" s="54">
        <v>5</v>
      </c>
      <c r="I44" s="54">
        <v>3</v>
      </c>
      <c r="J44" s="55">
        <v>3022</v>
      </c>
      <c r="K44" s="55">
        <v>2837.5</v>
      </c>
      <c r="L44" s="55">
        <v>2837.5</v>
      </c>
      <c r="M44" s="54">
        <v>177</v>
      </c>
      <c r="N44" s="56">
        <f>'Приложение 2'!E47</f>
        <v>3355977.56</v>
      </c>
      <c r="O44" s="297">
        <v>0</v>
      </c>
      <c r="P44" s="297">
        <v>0</v>
      </c>
      <c r="Q44" s="297">
        <v>0</v>
      </c>
      <c r="R44" s="297">
        <f t="shared" si="1"/>
        <v>3355977.56</v>
      </c>
      <c r="S44" s="319">
        <f t="shared" si="2"/>
        <v>1182.7233691629956</v>
      </c>
      <c r="T44" s="297">
        <v>4503.95</v>
      </c>
      <c r="U44" s="46" t="s">
        <v>225</v>
      </c>
    </row>
    <row r="45" spans="1:21" ht="9" hidden="1" customHeight="1">
      <c r="A45" s="304">
        <v>30</v>
      </c>
      <c r="B45" s="49" t="s">
        <v>139</v>
      </c>
      <c r="C45" s="50" t="s">
        <v>998</v>
      </c>
      <c r="D45" s="50"/>
      <c r="E45" s="51">
        <v>1938</v>
      </c>
      <c r="F45" s="58"/>
      <c r="G45" s="60" t="s">
        <v>87</v>
      </c>
      <c r="H45" s="54">
        <v>2</v>
      </c>
      <c r="I45" s="54">
        <v>2</v>
      </c>
      <c r="J45" s="55">
        <v>638.6</v>
      </c>
      <c r="K45" s="55">
        <v>601.6</v>
      </c>
      <c r="L45" s="55">
        <v>300.10000000000002</v>
      </c>
      <c r="M45" s="54">
        <v>12</v>
      </c>
      <c r="N45" s="56">
        <f>'Приложение 2'!E48</f>
        <v>1843490.35</v>
      </c>
      <c r="O45" s="297">
        <v>0</v>
      </c>
      <c r="P45" s="297">
        <v>0</v>
      </c>
      <c r="Q45" s="297">
        <v>0</v>
      </c>
      <c r="R45" s="297">
        <f t="shared" si="1"/>
        <v>1843490.35</v>
      </c>
      <c r="S45" s="319">
        <f t="shared" si="2"/>
        <v>3064.3124168882978</v>
      </c>
      <c r="T45" s="297">
        <v>4503.95</v>
      </c>
      <c r="U45" s="46" t="s">
        <v>225</v>
      </c>
    </row>
    <row r="46" spans="1:21" ht="9" hidden="1" customHeight="1">
      <c r="A46" s="304">
        <v>31</v>
      </c>
      <c r="B46" s="49" t="s">
        <v>140</v>
      </c>
      <c r="C46" s="50" t="s">
        <v>997</v>
      </c>
      <c r="D46" s="50"/>
      <c r="E46" s="51">
        <v>1991</v>
      </c>
      <c r="F46" s="58"/>
      <c r="G46" s="53" t="s">
        <v>87</v>
      </c>
      <c r="H46" s="54">
        <v>5</v>
      </c>
      <c r="I46" s="54">
        <v>1</v>
      </c>
      <c r="J46" s="55">
        <v>1307.5999999999999</v>
      </c>
      <c r="K46" s="55">
        <v>1216.5999999999999</v>
      </c>
      <c r="L46" s="55">
        <v>919.6</v>
      </c>
      <c r="M46" s="54">
        <v>71</v>
      </c>
      <c r="N46" s="56">
        <f>'Приложение 2'!E49</f>
        <v>1825435.67</v>
      </c>
      <c r="O46" s="297">
        <v>0</v>
      </c>
      <c r="P46" s="297">
        <v>0</v>
      </c>
      <c r="Q46" s="297">
        <v>0</v>
      </c>
      <c r="R46" s="297">
        <f t="shared" si="1"/>
        <v>1825435.67</v>
      </c>
      <c r="S46" s="319">
        <f t="shared" si="2"/>
        <v>1500.4403008384022</v>
      </c>
      <c r="T46" s="297">
        <v>4180</v>
      </c>
      <c r="U46" s="46" t="s">
        <v>225</v>
      </c>
    </row>
    <row r="47" spans="1:21" ht="9" hidden="1" customHeight="1">
      <c r="A47" s="304">
        <v>32</v>
      </c>
      <c r="B47" s="49" t="s">
        <v>141</v>
      </c>
      <c r="C47" s="50" t="s">
        <v>997</v>
      </c>
      <c r="D47" s="50"/>
      <c r="E47" s="59">
        <v>1967</v>
      </c>
      <c r="F47" s="54"/>
      <c r="G47" s="60" t="s">
        <v>87</v>
      </c>
      <c r="H47" s="54">
        <v>5</v>
      </c>
      <c r="I47" s="54">
        <v>2</v>
      </c>
      <c r="J47" s="55">
        <v>1714</v>
      </c>
      <c r="K47" s="55">
        <v>1591.2</v>
      </c>
      <c r="L47" s="55">
        <v>1578.3</v>
      </c>
      <c r="M47" s="54">
        <v>97</v>
      </c>
      <c r="N47" s="56">
        <f>'Приложение 2'!E50</f>
        <v>1411234.78</v>
      </c>
      <c r="O47" s="297">
        <v>0</v>
      </c>
      <c r="P47" s="297">
        <v>0</v>
      </c>
      <c r="Q47" s="297">
        <v>0</v>
      </c>
      <c r="R47" s="297">
        <f t="shared" si="1"/>
        <v>1411234.78</v>
      </c>
      <c r="S47" s="319">
        <f t="shared" si="2"/>
        <v>886.89968577174454</v>
      </c>
      <c r="T47" s="297">
        <v>4180</v>
      </c>
      <c r="U47" s="46" t="s">
        <v>225</v>
      </c>
    </row>
    <row r="48" spans="1:21" ht="9" hidden="1" customHeight="1">
      <c r="A48" s="304">
        <v>33</v>
      </c>
      <c r="B48" s="49" t="s">
        <v>142</v>
      </c>
      <c r="C48" s="50" t="s">
        <v>997</v>
      </c>
      <c r="D48" s="50"/>
      <c r="E48" s="59">
        <v>1968</v>
      </c>
      <c r="F48" s="54"/>
      <c r="G48" s="60" t="s">
        <v>89</v>
      </c>
      <c r="H48" s="54">
        <v>5</v>
      </c>
      <c r="I48" s="54">
        <v>4</v>
      </c>
      <c r="J48" s="55">
        <v>3752</v>
      </c>
      <c r="K48" s="55">
        <v>3452.8</v>
      </c>
      <c r="L48" s="55">
        <v>3452.8</v>
      </c>
      <c r="M48" s="54">
        <v>173</v>
      </c>
      <c r="N48" s="56">
        <f>'Приложение 2'!E51</f>
        <v>2584113.1800000002</v>
      </c>
      <c r="O48" s="297">
        <v>0</v>
      </c>
      <c r="P48" s="297">
        <v>0</v>
      </c>
      <c r="Q48" s="297">
        <v>0</v>
      </c>
      <c r="R48" s="297">
        <f t="shared" si="1"/>
        <v>2584113.1800000002</v>
      </c>
      <c r="S48" s="319">
        <f t="shared" si="2"/>
        <v>748.41090708989805</v>
      </c>
      <c r="T48" s="297">
        <v>4180</v>
      </c>
      <c r="U48" s="46" t="s">
        <v>225</v>
      </c>
    </row>
    <row r="49" spans="1:21" ht="9" hidden="1" customHeight="1">
      <c r="A49" s="304">
        <v>34</v>
      </c>
      <c r="B49" s="49" t="s">
        <v>143</v>
      </c>
      <c r="C49" s="50" t="s">
        <v>997</v>
      </c>
      <c r="D49" s="50"/>
      <c r="E49" s="59">
        <v>1985</v>
      </c>
      <c r="F49" s="54"/>
      <c r="G49" s="60" t="s">
        <v>87</v>
      </c>
      <c r="H49" s="54">
        <v>5</v>
      </c>
      <c r="I49" s="54">
        <v>4</v>
      </c>
      <c r="J49" s="55">
        <v>3305.9</v>
      </c>
      <c r="K49" s="55">
        <v>3056.6</v>
      </c>
      <c r="L49" s="55">
        <v>2429.5</v>
      </c>
      <c r="M49" s="54">
        <v>92</v>
      </c>
      <c r="N49" s="56">
        <f>'Приложение 2'!E52</f>
        <v>2435117.0699999998</v>
      </c>
      <c r="O49" s="297">
        <v>0</v>
      </c>
      <c r="P49" s="297">
        <v>0</v>
      </c>
      <c r="Q49" s="297">
        <v>0</v>
      </c>
      <c r="R49" s="297">
        <f t="shared" si="1"/>
        <v>2435117.0699999998</v>
      </c>
      <c r="S49" s="319">
        <f t="shared" si="2"/>
        <v>796.67508669763788</v>
      </c>
      <c r="T49" s="297">
        <v>4180</v>
      </c>
      <c r="U49" s="46" t="s">
        <v>225</v>
      </c>
    </row>
    <row r="50" spans="1:21" ht="9" hidden="1" customHeight="1">
      <c r="A50" s="304">
        <v>35</v>
      </c>
      <c r="B50" s="49" t="s">
        <v>144</v>
      </c>
      <c r="C50" s="50" t="s">
        <v>997</v>
      </c>
      <c r="D50" s="50"/>
      <c r="E50" s="59">
        <v>1990</v>
      </c>
      <c r="F50" s="54"/>
      <c r="G50" s="60" t="s">
        <v>87</v>
      </c>
      <c r="H50" s="54">
        <v>9</v>
      </c>
      <c r="I50" s="54">
        <v>1</v>
      </c>
      <c r="J50" s="55">
        <v>7539</v>
      </c>
      <c r="K50" s="55">
        <v>6463.8</v>
      </c>
      <c r="L50" s="55">
        <v>4909.7</v>
      </c>
      <c r="M50" s="54">
        <v>258</v>
      </c>
      <c r="N50" s="56">
        <f>'Приложение 2'!E53</f>
        <v>2950917.31</v>
      </c>
      <c r="O50" s="297">
        <v>0</v>
      </c>
      <c r="P50" s="297">
        <v>0</v>
      </c>
      <c r="Q50" s="297">
        <v>0</v>
      </c>
      <c r="R50" s="297">
        <f t="shared" si="1"/>
        <v>2950917.31</v>
      </c>
      <c r="S50" s="319">
        <f t="shared" si="2"/>
        <v>456.52979826108481</v>
      </c>
      <c r="T50" s="297">
        <v>4180</v>
      </c>
      <c r="U50" s="46" t="s">
        <v>225</v>
      </c>
    </row>
    <row r="51" spans="1:21" ht="9" hidden="1" customHeight="1">
      <c r="A51" s="304">
        <v>36</v>
      </c>
      <c r="B51" s="49" t="s">
        <v>145</v>
      </c>
      <c r="C51" s="50" t="s">
        <v>998</v>
      </c>
      <c r="D51" s="50"/>
      <c r="E51" s="59">
        <v>1954</v>
      </c>
      <c r="F51" s="54"/>
      <c r="G51" s="60" t="s">
        <v>87</v>
      </c>
      <c r="H51" s="54">
        <v>2</v>
      </c>
      <c r="I51" s="54">
        <v>3</v>
      </c>
      <c r="J51" s="55">
        <v>705.5</v>
      </c>
      <c r="K51" s="55">
        <v>602.9</v>
      </c>
      <c r="L51" s="55">
        <v>602.9</v>
      </c>
      <c r="M51" s="54">
        <v>35</v>
      </c>
      <c r="N51" s="56">
        <f>'Приложение 2'!E54</f>
        <v>2075612.19</v>
      </c>
      <c r="O51" s="297">
        <v>0</v>
      </c>
      <c r="P51" s="297">
        <v>0</v>
      </c>
      <c r="Q51" s="297">
        <v>0</v>
      </c>
      <c r="R51" s="297">
        <f t="shared" si="1"/>
        <v>2075612.19</v>
      </c>
      <c r="S51" s="319">
        <f t="shared" si="2"/>
        <v>3442.7138663128212</v>
      </c>
      <c r="T51" s="297">
        <v>4503.95</v>
      </c>
      <c r="U51" s="46" t="s">
        <v>225</v>
      </c>
    </row>
    <row r="52" spans="1:21" ht="9" hidden="1" customHeight="1">
      <c r="A52" s="304">
        <v>37</v>
      </c>
      <c r="B52" s="49" t="s">
        <v>146</v>
      </c>
      <c r="C52" s="50" t="s">
        <v>997</v>
      </c>
      <c r="D52" s="50"/>
      <c r="E52" s="59">
        <v>1989</v>
      </c>
      <c r="F52" s="54"/>
      <c r="G52" s="60" t="s">
        <v>89</v>
      </c>
      <c r="H52" s="54">
        <v>5</v>
      </c>
      <c r="I52" s="54">
        <v>4</v>
      </c>
      <c r="J52" s="55">
        <v>3948</v>
      </c>
      <c r="K52" s="55">
        <v>3514.4</v>
      </c>
      <c r="L52" s="55">
        <v>3514.4</v>
      </c>
      <c r="M52" s="54">
        <v>168</v>
      </c>
      <c r="N52" s="56">
        <f>'Приложение 2'!E55</f>
        <v>1775203.61</v>
      </c>
      <c r="O52" s="297">
        <v>0</v>
      </c>
      <c r="P52" s="297">
        <v>0</v>
      </c>
      <c r="Q52" s="297">
        <v>0</v>
      </c>
      <c r="R52" s="297">
        <f t="shared" si="1"/>
        <v>1775203.61</v>
      </c>
      <c r="S52" s="319">
        <f t="shared" si="2"/>
        <v>505.12281185977696</v>
      </c>
      <c r="T52" s="297">
        <v>4180</v>
      </c>
      <c r="U52" s="46" t="s">
        <v>225</v>
      </c>
    </row>
    <row r="53" spans="1:21" ht="9" hidden="1" customHeight="1">
      <c r="A53" s="304">
        <v>38</v>
      </c>
      <c r="B53" s="49" t="s">
        <v>147</v>
      </c>
      <c r="C53" s="50" t="s">
        <v>998</v>
      </c>
      <c r="D53" s="50"/>
      <c r="E53" s="59">
        <v>1957</v>
      </c>
      <c r="F53" s="54"/>
      <c r="G53" s="60" t="s">
        <v>87</v>
      </c>
      <c r="H53" s="54">
        <v>3</v>
      </c>
      <c r="I53" s="54">
        <v>4</v>
      </c>
      <c r="J53" s="55">
        <v>2094.4</v>
      </c>
      <c r="K53" s="55">
        <v>1892.9</v>
      </c>
      <c r="L53" s="55">
        <v>1665.4</v>
      </c>
      <c r="M53" s="54">
        <v>67</v>
      </c>
      <c r="N53" s="56">
        <f>'Приложение 2'!E56</f>
        <v>3298574.61</v>
      </c>
      <c r="O53" s="297">
        <v>0</v>
      </c>
      <c r="P53" s="297">
        <v>0</v>
      </c>
      <c r="Q53" s="297">
        <v>0</v>
      </c>
      <c r="R53" s="297">
        <f t="shared" si="1"/>
        <v>3298574.61</v>
      </c>
      <c r="S53" s="319">
        <f t="shared" si="2"/>
        <v>1742.6037350097731</v>
      </c>
      <c r="T53" s="297">
        <v>4503.95</v>
      </c>
      <c r="U53" s="46" t="s">
        <v>225</v>
      </c>
    </row>
    <row r="54" spans="1:21" ht="9" hidden="1" customHeight="1">
      <c r="A54" s="304">
        <v>39</v>
      </c>
      <c r="B54" s="49" t="s">
        <v>1038</v>
      </c>
      <c r="C54" s="50" t="s">
        <v>997</v>
      </c>
      <c r="D54" s="50"/>
      <c r="E54" s="59">
        <v>1966</v>
      </c>
      <c r="F54" s="54"/>
      <c r="G54" s="60" t="s">
        <v>87</v>
      </c>
      <c r="H54" s="54">
        <v>5</v>
      </c>
      <c r="I54" s="54">
        <v>4</v>
      </c>
      <c r="J54" s="55">
        <v>2867.7</v>
      </c>
      <c r="K54" s="55">
        <v>2598.6999999999998</v>
      </c>
      <c r="L54" s="55">
        <v>2598.6999999999998</v>
      </c>
      <c r="M54" s="54">
        <v>106</v>
      </c>
      <c r="N54" s="56">
        <f>'Приложение 2'!E57</f>
        <v>2902118.73</v>
      </c>
      <c r="O54" s="297">
        <v>0</v>
      </c>
      <c r="P54" s="297">
        <v>0</v>
      </c>
      <c r="Q54" s="297">
        <v>0</v>
      </c>
      <c r="R54" s="297">
        <f t="shared" si="1"/>
        <v>2902118.73</v>
      </c>
      <c r="S54" s="319">
        <f t="shared" si="2"/>
        <v>1116.7578904837035</v>
      </c>
      <c r="T54" s="297">
        <v>4180</v>
      </c>
      <c r="U54" s="46" t="s">
        <v>225</v>
      </c>
    </row>
    <row r="55" spans="1:21" ht="9" hidden="1" customHeight="1">
      <c r="A55" s="304">
        <v>40</v>
      </c>
      <c r="B55" s="49" t="s">
        <v>148</v>
      </c>
      <c r="C55" s="50" t="s">
        <v>997</v>
      </c>
      <c r="D55" s="50"/>
      <c r="E55" s="59">
        <v>1978</v>
      </c>
      <c r="F55" s="54"/>
      <c r="G55" s="60" t="s">
        <v>89</v>
      </c>
      <c r="H55" s="54">
        <v>9</v>
      </c>
      <c r="I55" s="54">
        <v>6</v>
      </c>
      <c r="J55" s="55">
        <v>13804.4</v>
      </c>
      <c r="K55" s="55">
        <v>12116.4</v>
      </c>
      <c r="L55" s="55">
        <v>12023</v>
      </c>
      <c r="M55" s="54">
        <v>507</v>
      </c>
      <c r="N55" s="56">
        <f>'Приложение 2'!E58</f>
        <v>4897921.6100000003</v>
      </c>
      <c r="O55" s="297">
        <v>0</v>
      </c>
      <c r="P55" s="297">
        <v>0</v>
      </c>
      <c r="Q55" s="297">
        <v>0</v>
      </c>
      <c r="R55" s="297">
        <f t="shared" si="1"/>
        <v>4897921.6100000003</v>
      </c>
      <c r="S55" s="319">
        <f t="shared" si="2"/>
        <v>404.23901571423858</v>
      </c>
      <c r="T55" s="297">
        <v>4180</v>
      </c>
      <c r="U55" s="46" t="s">
        <v>225</v>
      </c>
    </row>
    <row r="56" spans="1:21" ht="9" hidden="1" customHeight="1">
      <c r="A56" s="304">
        <v>41</v>
      </c>
      <c r="B56" s="49" t="s">
        <v>210</v>
      </c>
      <c r="C56" s="50" t="s">
        <v>997</v>
      </c>
      <c r="D56" s="50"/>
      <c r="E56" s="59">
        <v>1992</v>
      </c>
      <c r="F56" s="54"/>
      <c r="G56" s="60" t="s">
        <v>87</v>
      </c>
      <c r="H56" s="54">
        <v>5</v>
      </c>
      <c r="I56" s="54">
        <v>5</v>
      </c>
      <c r="J56" s="55">
        <v>3750.1</v>
      </c>
      <c r="K56" s="55">
        <v>3239.6</v>
      </c>
      <c r="L56" s="55">
        <v>3239.6</v>
      </c>
      <c r="M56" s="54">
        <v>172</v>
      </c>
      <c r="N56" s="56">
        <f>'Приложение 2'!E59</f>
        <v>2307087.5499999998</v>
      </c>
      <c r="O56" s="297">
        <v>0</v>
      </c>
      <c r="P56" s="297">
        <v>0</v>
      </c>
      <c r="Q56" s="297">
        <v>0</v>
      </c>
      <c r="R56" s="297">
        <f t="shared" si="1"/>
        <v>2307087.5499999998</v>
      </c>
      <c r="S56" s="319">
        <f t="shared" si="2"/>
        <v>712.15197863933815</v>
      </c>
      <c r="T56" s="297">
        <v>4180</v>
      </c>
      <c r="U56" s="46" t="s">
        <v>225</v>
      </c>
    </row>
    <row r="57" spans="1:21" ht="9" hidden="1" customHeight="1">
      <c r="A57" s="304">
        <v>42</v>
      </c>
      <c r="B57" s="49" t="s">
        <v>1039</v>
      </c>
      <c r="C57" s="50" t="s">
        <v>997</v>
      </c>
      <c r="D57" s="50"/>
      <c r="E57" s="59">
        <v>1989</v>
      </c>
      <c r="F57" s="54"/>
      <c r="G57" s="60" t="s">
        <v>87</v>
      </c>
      <c r="H57" s="54">
        <v>9</v>
      </c>
      <c r="I57" s="54">
        <v>6</v>
      </c>
      <c r="J57" s="55">
        <v>13661.3</v>
      </c>
      <c r="K57" s="55">
        <v>11766</v>
      </c>
      <c r="L57" s="55">
        <v>11549.5</v>
      </c>
      <c r="M57" s="54">
        <v>521</v>
      </c>
      <c r="N57" s="56">
        <f>'Приложение 2'!E60</f>
        <v>5834564.6200000001</v>
      </c>
      <c r="O57" s="297">
        <v>0</v>
      </c>
      <c r="P57" s="297">
        <v>0</v>
      </c>
      <c r="Q57" s="297">
        <v>0</v>
      </c>
      <c r="R57" s="297">
        <f t="shared" si="1"/>
        <v>5834564.6200000001</v>
      </c>
      <c r="S57" s="319">
        <f t="shared" si="2"/>
        <v>495.88344552099272</v>
      </c>
      <c r="T57" s="297">
        <v>4180</v>
      </c>
      <c r="U57" s="46" t="s">
        <v>225</v>
      </c>
    </row>
    <row r="58" spans="1:21" ht="9" hidden="1" customHeight="1">
      <c r="A58" s="304">
        <v>43</v>
      </c>
      <c r="B58" s="49" t="s">
        <v>211</v>
      </c>
      <c r="C58" s="50" t="s">
        <v>997</v>
      </c>
      <c r="D58" s="50"/>
      <c r="E58" s="59">
        <v>1986</v>
      </c>
      <c r="F58" s="54"/>
      <c r="G58" s="60" t="s">
        <v>87</v>
      </c>
      <c r="H58" s="54">
        <v>5</v>
      </c>
      <c r="I58" s="54">
        <v>5</v>
      </c>
      <c r="J58" s="55">
        <v>4074.2</v>
      </c>
      <c r="K58" s="55">
        <v>3650.2</v>
      </c>
      <c r="L58" s="55">
        <v>3370</v>
      </c>
      <c r="M58" s="54">
        <v>189</v>
      </c>
      <c r="N58" s="56">
        <f>'Приложение 2'!E61</f>
        <v>4239724.47</v>
      </c>
      <c r="O58" s="297">
        <v>0</v>
      </c>
      <c r="P58" s="297">
        <v>0</v>
      </c>
      <c r="Q58" s="297">
        <v>0</v>
      </c>
      <c r="R58" s="297">
        <f>N58</f>
        <v>4239724.47</v>
      </c>
      <c r="S58" s="319">
        <f t="shared" si="2"/>
        <v>1161.5047038518437</v>
      </c>
      <c r="T58" s="297">
        <v>4503.95</v>
      </c>
      <c r="U58" s="46" t="s">
        <v>225</v>
      </c>
    </row>
    <row r="59" spans="1:21" ht="9" hidden="1" customHeight="1">
      <c r="A59" s="304">
        <v>44</v>
      </c>
      <c r="B59" s="49" t="s">
        <v>212</v>
      </c>
      <c r="C59" s="50" t="s">
        <v>998</v>
      </c>
      <c r="D59" s="50"/>
      <c r="E59" s="59">
        <v>1935</v>
      </c>
      <c r="F59" s="54"/>
      <c r="G59" s="60" t="s">
        <v>87</v>
      </c>
      <c r="H59" s="54">
        <v>3</v>
      </c>
      <c r="I59" s="54">
        <v>3</v>
      </c>
      <c r="J59" s="55">
        <v>1490.2</v>
      </c>
      <c r="K59" s="55">
        <v>1338.1</v>
      </c>
      <c r="L59" s="55">
        <v>1338.1</v>
      </c>
      <c r="M59" s="54">
        <v>59</v>
      </c>
      <c r="N59" s="56">
        <f>'Приложение 2'!E62</f>
        <v>2182726.66</v>
      </c>
      <c r="O59" s="297">
        <v>0</v>
      </c>
      <c r="P59" s="297">
        <v>0</v>
      </c>
      <c r="Q59" s="297">
        <v>0</v>
      </c>
      <c r="R59" s="297">
        <f t="shared" si="1"/>
        <v>2182726.66</v>
      </c>
      <c r="S59" s="319">
        <f t="shared" si="2"/>
        <v>1631.2134070697259</v>
      </c>
      <c r="T59" s="297">
        <v>4503.95</v>
      </c>
      <c r="U59" s="46" t="s">
        <v>225</v>
      </c>
    </row>
    <row r="60" spans="1:21" ht="9" hidden="1" customHeight="1">
      <c r="A60" s="304">
        <v>45</v>
      </c>
      <c r="B60" s="49" t="s">
        <v>213</v>
      </c>
      <c r="C60" s="50" t="s">
        <v>997</v>
      </c>
      <c r="D60" s="50"/>
      <c r="E60" s="59">
        <v>1978</v>
      </c>
      <c r="F60" s="54"/>
      <c r="G60" s="60" t="s">
        <v>87</v>
      </c>
      <c r="H60" s="54">
        <v>5</v>
      </c>
      <c r="I60" s="54">
        <v>4</v>
      </c>
      <c r="J60" s="55">
        <v>3070.5</v>
      </c>
      <c r="K60" s="55">
        <v>2715.5</v>
      </c>
      <c r="L60" s="55">
        <v>2715.5</v>
      </c>
      <c r="M60" s="54">
        <v>133</v>
      </c>
      <c r="N60" s="56">
        <f>'Приложение 2'!E63</f>
        <v>1862776.16</v>
      </c>
      <c r="O60" s="297">
        <v>0</v>
      </c>
      <c r="P60" s="297">
        <v>0</v>
      </c>
      <c r="Q60" s="297">
        <v>0</v>
      </c>
      <c r="R60" s="297">
        <f t="shared" si="1"/>
        <v>1862776.16</v>
      </c>
      <c r="S60" s="319">
        <f t="shared" si="2"/>
        <v>685.97906831154478</v>
      </c>
      <c r="T60" s="297">
        <v>4180</v>
      </c>
      <c r="U60" s="46" t="s">
        <v>225</v>
      </c>
    </row>
    <row r="61" spans="1:21" ht="9" hidden="1" customHeight="1">
      <c r="A61" s="304">
        <v>46</v>
      </c>
      <c r="B61" s="49" t="s">
        <v>150</v>
      </c>
      <c r="C61" s="50" t="s">
        <v>997</v>
      </c>
      <c r="D61" s="50"/>
      <c r="E61" s="59">
        <v>1983</v>
      </c>
      <c r="F61" s="54">
        <v>1997</v>
      </c>
      <c r="G61" s="60" t="s">
        <v>87</v>
      </c>
      <c r="H61" s="54">
        <v>5</v>
      </c>
      <c r="I61" s="54">
        <v>4</v>
      </c>
      <c r="J61" s="55">
        <v>3017.2</v>
      </c>
      <c r="K61" s="55">
        <v>2767.2</v>
      </c>
      <c r="L61" s="55">
        <v>2685.5</v>
      </c>
      <c r="M61" s="54">
        <v>153</v>
      </c>
      <c r="N61" s="56">
        <f>'Приложение 2'!E64</f>
        <v>1857863.91</v>
      </c>
      <c r="O61" s="297">
        <v>0</v>
      </c>
      <c r="P61" s="297">
        <v>0</v>
      </c>
      <c r="Q61" s="297">
        <v>0</v>
      </c>
      <c r="R61" s="297">
        <f t="shared" si="1"/>
        <v>1857863.91</v>
      </c>
      <c r="S61" s="319">
        <f t="shared" si="2"/>
        <v>671.38765177797052</v>
      </c>
      <c r="T61" s="297">
        <v>4180</v>
      </c>
      <c r="U61" s="46" t="s">
        <v>225</v>
      </c>
    </row>
    <row r="62" spans="1:21" ht="9" hidden="1" customHeight="1">
      <c r="A62" s="304">
        <v>47</v>
      </c>
      <c r="B62" s="49" t="s">
        <v>151</v>
      </c>
      <c r="C62" s="50" t="s">
        <v>998</v>
      </c>
      <c r="D62" s="50"/>
      <c r="E62" s="59">
        <v>1957</v>
      </c>
      <c r="F62" s="54"/>
      <c r="G62" s="60" t="s">
        <v>87</v>
      </c>
      <c r="H62" s="54">
        <v>2</v>
      </c>
      <c r="I62" s="54">
        <v>2</v>
      </c>
      <c r="J62" s="55">
        <v>929.9</v>
      </c>
      <c r="K62" s="55">
        <v>842.9</v>
      </c>
      <c r="L62" s="55">
        <v>842.9</v>
      </c>
      <c r="M62" s="54">
        <v>41</v>
      </c>
      <c r="N62" s="56">
        <f>'Приложение 2'!E65</f>
        <v>2286811.6</v>
      </c>
      <c r="O62" s="297">
        <v>0</v>
      </c>
      <c r="P62" s="297">
        <v>0</v>
      </c>
      <c r="Q62" s="297">
        <v>0</v>
      </c>
      <c r="R62" s="297">
        <f t="shared" si="1"/>
        <v>2286811.6</v>
      </c>
      <c r="S62" s="319">
        <f t="shared" si="2"/>
        <v>2713.0283544904496</v>
      </c>
      <c r="T62" s="297">
        <v>4503.95</v>
      </c>
      <c r="U62" s="46" t="s">
        <v>225</v>
      </c>
    </row>
    <row r="63" spans="1:21" ht="9" hidden="1" customHeight="1">
      <c r="A63" s="304">
        <v>48</v>
      </c>
      <c r="B63" s="49" t="s">
        <v>152</v>
      </c>
      <c r="C63" s="50" t="s">
        <v>998</v>
      </c>
      <c r="D63" s="50"/>
      <c r="E63" s="59">
        <v>1960</v>
      </c>
      <c r="F63" s="54"/>
      <c r="G63" s="60" t="s">
        <v>87</v>
      </c>
      <c r="H63" s="54">
        <v>4</v>
      </c>
      <c r="I63" s="54">
        <v>2</v>
      </c>
      <c r="J63" s="55">
        <v>1369.5</v>
      </c>
      <c r="K63" s="55">
        <v>1275.5</v>
      </c>
      <c r="L63" s="55">
        <v>1043.3</v>
      </c>
      <c r="M63" s="54">
        <v>48</v>
      </c>
      <c r="N63" s="56">
        <f>'Приложение 2'!E66</f>
        <v>1647360.66</v>
      </c>
      <c r="O63" s="297">
        <v>0</v>
      </c>
      <c r="P63" s="297">
        <v>0</v>
      </c>
      <c r="Q63" s="297">
        <v>0</v>
      </c>
      <c r="R63" s="297">
        <f t="shared" si="1"/>
        <v>1647360.66</v>
      </c>
      <c r="S63" s="319">
        <f t="shared" si="2"/>
        <v>1291.5410897687182</v>
      </c>
      <c r="T63" s="297">
        <v>4503.95</v>
      </c>
      <c r="U63" s="46" t="s">
        <v>225</v>
      </c>
    </row>
    <row r="64" spans="1:21" ht="9" hidden="1" customHeight="1">
      <c r="A64" s="304">
        <v>49</v>
      </c>
      <c r="B64" s="49" t="s">
        <v>153</v>
      </c>
      <c r="C64" s="50" t="s">
        <v>997</v>
      </c>
      <c r="D64" s="50"/>
      <c r="E64" s="59">
        <v>1974</v>
      </c>
      <c r="F64" s="54"/>
      <c r="G64" s="60" t="s">
        <v>87</v>
      </c>
      <c r="H64" s="54">
        <v>5</v>
      </c>
      <c r="I64" s="54">
        <v>8</v>
      </c>
      <c r="J64" s="55">
        <v>6514.9</v>
      </c>
      <c r="K64" s="55">
        <v>6000.9</v>
      </c>
      <c r="L64" s="55">
        <v>4862.8</v>
      </c>
      <c r="M64" s="54">
        <v>35</v>
      </c>
      <c r="N64" s="56">
        <f>'Приложение 2'!E67</f>
        <v>5274301.0999999996</v>
      </c>
      <c r="O64" s="297">
        <v>0</v>
      </c>
      <c r="P64" s="297">
        <v>0</v>
      </c>
      <c r="Q64" s="297">
        <v>0</v>
      </c>
      <c r="R64" s="297">
        <f t="shared" si="1"/>
        <v>5274301.0999999996</v>
      </c>
      <c r="S64" s="319">
        <f t="shared" si="2"/>
        <v>878.91834558149606</v>
      </c>
      <c r="T64" s="297">
        <v>4180</v>
      </c>
      <c r="U64" s="46" t="s">
        <v>225</v>
      </c>
    </row>
    <row r="65" spans="1:21" ht="9" hidden="1" customHeight="1">
      <c r="A65" s="304">
        <v>50</v>
      </c>
      <c r="B65" s="49" t="s">
        <v>154</v>
      </c>
      <c r="C65" s="50" t="s">
        <v>997</v>
      </c>
      <c r="D65" s="50"/>
      <c r="E65" s="59">
        <v>1987</v>
      </c>
      <c r="F65" s="54"/>
      <c r="G65" s="60" t="s">
        <v>87</v>
      </c>
      <c r="H65" s="54">
        <v>9</v>
      </c>
      <c r="I65" s="54">
        <v>4</v>
      </c>
      <c r="J65" s="55">
        <v>9139.4</v>
      </c>
      <c r="K65" s="55">
        <v>7997</v>
      </c>
      <c r="L65" s="55">
        <v>7997</v>
      </c>
      <c r="M65" s="54">
        <v>433</v>
      </c>
      <c r="N65" s="56">
        <f>'Приложение 2'!E68</f>
        <v>4586954.66</v>
      </c>
      <c r="O65" s="297">
        <v>0</v>
      </c>
      <c r="P65" s="297">
        <v>0</v>
      </c>
      <c r="Q65" s="297">
        <v>0</v>
      </c>
      <c r="R65" s="297">
        <f t="shared" si="1"/>
        <v>4586954.66</v>
      </c>
      <c r="S65" s="319">
        <f t="shared" si="2"/>
        <v>573.58442665999746</v>
      </c>
      <c r="T65" s="297">
        <v>4180</v>
      </c>
      <c r="U65" s="46" t="s">
        <v>225</v>
      </c>
    </row>
    <row r="66" spans="1:21" ht="9" hidden="1" customHeight="1">
      <c r="A66" s="304">
        <v>51</v>
      </c>
      <c r="B66" s="49" t="s">
        <v>155</v>
      </c>
      <c r="C66" s="50" t="s">
        <v>997</v>
      </c>
      <c r="D66" s="50"/>
      <c r="E66" s="59">
        <v>1992</v>
      </c>
      <c r="F66" s="54"/>
      <c r="G66" s="60" t="s">
        <v>87</v>
      </c>
      <c r="H66" s="54">
        <v>5</v>
      </c>
      <c r="I66" s="54">
        <v>4</v>
      </c>
      <c r="J66" s="55">
        <v>3360</v>
      </c>
      <c r="K66" s="61">
        <v>2994.5</v>
      </c>
      <c r="L66" s="61">
        <v>2933.8</v>
      </c>
      <c r="M66" s="54">
        <v>142</v>
      </c>
      <c r="N66" s="56">
        <f>'Приложение 2'!E69</f>
        <v>2976904.46</v>
      </c>
      <c r="O66" s="297">
        <v>0</v>
      </c>
      <c r="P66" s="297">
        <v>0</v>
      </c>
      <c r="Q66" s="297">
        <v>0</v>
      </c>
      <c r="R66" s="297">
        <f t="shared" si="1"/>
        <v>2976904.46</v>
      </c>
      <c r="S66" s="319">
        <f t="shared" si="2"/>
        <v>994.12404742027047</v>
      </c>
      <c r="T66" s="297">
        <v>4180</v>
      </c>
      <c r="U66" s="46" t="s">
        <v>225</v>
      </c>
    </row>
    <row r="67" spans="1:21" ht="9" hidden="1" customHeight="1">
      <c r="A67" s="304">
        <v>52</v>
      </c>
      <c r="B67" s="49" t="s">
        <v>156</v>
      </c>
      <c r="C67" s="50" t="s">
        <v>997</v>
      </c>
      <c r="D67" s="50"/>
      <c r="E67" s="59">
        <v>1982</v>
      </c>
      <c r="F67" s="54"/>
      <c r="G67" s="60" t="s">
        <v>87</v>
      </c>
      <c r="H67" s="54">
        <v>5</v>
      </c>
      <c r="I67" s="54">
        <v>1</v>
      </c>
      <c r="J67" s="55">
        <v>1923.5</v>
      </c>
      <c r="K67" s="55">
        <v>1680.5</v>
      </c>
      <c r="L67" s="55">
        <v>1680.5</v>
      </c>
      <c r="M67" s="54">
        <v>115</v>
      </c>
      <c r="N67" s="56">
        <f>'Приложение 2'!E70</f>
        <v>1204026.3600000001</v>
      </c>
      <c r="O67" s="297">
        <v>0</v>
      </c>
      <c r="P67" s="297">
        <v>0</v>
      </c>
      <c r="Q67" s="297">
        <v>0</v>
      </c>
      <c r="R67" s="297">
        <f t="shared" si="1"/>
        <v>1204026.3600000001</v>
      </c>
      <c r="S67" s="319">
        <f t="shared" si="2"/>
        <v>716.46912228503425</v>
      </c>
      <c r="T67" s="297">
        <v>4180</v>
      </c>
      <c r="U67" s="46" t="s">
        <v>225</v>
      </c>
    </row>
    <row r="68" spans="1:21" ht="9" hidden="1" customHeight="1">
      <c r="A68" s="304">
        <v>53</v>
      </c>
      <c r="B68" s="49" t="s">
        <v>157</v>
      </c>
      <c r="C68" s="50" t="s">
        <v>998</v>
      </c>
      <c r="D68" s="50"/>
      <c r="E68" s="59">
        <v>1968</v>
      </c>
      <c r="F68" s="54"/>
      <c r="G68" s="60" t="s">
        <v>87</v>
      </c>
      <c r="H68" s="54">
        <v>4</v>
      </c>
      <c r="I68" s="54">
        <v>2</v>
      </c>
      <c r="J68" s="55">
        <v>1370.2</v>
      </c>
      <c r="K68" s="61">
        <v>1275</v>
      </c>
      <c r="L68" s="61">
        <v>1275</v>
      </c>
      <c r="M68" s="54">
        <v>66</v>
      </c>
      <c r="N68" s="56">
        <f>'Приложение 2'!E71</f>
        <v>1894629.02</v>
      </c>
      <c r="O68" s="297">
        <v>0</v>
      </c>
      <c r="P68" s="297">
        <v>0</v>
      </c>
      <c r="Q68" s="297">
        <v>0</v>
      </c>
      <c r="R68" s="297">
        <f t="shared" si="1"/>
        <v>1894629.02</v>
      </c>
      <c r="S68" s="319">
        <f t="shared" si="2"/>
        <v>1485.9835450980393</v>
      </c>
      <c r="T68" s="297">
        <v>4503.95</v>
      </c>
      <c r="U68" s="46" t="s">
        <v>225</v>
      </c>
    </row>
    <row r="69" spans="1:21" ht="9" hidden="1" customHeight="1">
      <c r="A69" s="304">
        <v>54</v>
      </c>
      <c r="B69" s="49" t="s">
        <v>158</v>
      </c>
      <c r="C69" s="50" t="s">
        <v>997</v>
      </c>
      <c r="D69" s="50"/>
      <c r="E69" s="59">
        <v>1981</v>
      </c>
      <c r="F69" s="54"/>
      <c r="G69" s="60" t="s">
        <v>87</v>
      </c>
      <c r="H69" s="54">
        <v>6</v>
      </c>
      <c r="I69" s="54">
        <v>2</v>
      </c>
      <c r="J69" s="55">
        <v>1643.7</v>
      </c>
      <c r="K69" s="61">
        <v>1380</v>
      </c>
      <c r="L69" s="61">
        <v>1380</v>
      </c>
      <c r="M69" s="54">
        <v>65</v>
      </c>
      <c r="N69" s="56">
        <f>'Приложение 2'!E72</f>
        <v>1200062.53</v>
      </c>
      <c r="O69" s="297">
        <v>0</v>
      </c>
      <c r="P69" s="297">
        <v>0</v>
      </c>
      <c r="Q69" s="297">
        <v>0</v>
      </c>
      <c r="R69" s="297">
        <f t="shared" si="1"/>
        <v>1200062.53</v>
      </c>
      <c r="S69" s="319">
        <f t="shared" si="2"/>
        <v>869.61052898550724</v>
      </c>
      <c r="T69" s="297">
        <v>4180</v>
      </c>
      <c r="U69" s="46" t="s">
        <v>225</v>
      </c>
    </row>
    <row r="70" spans="1:21" ht="9" hidden="1" customHeight="1">
      <c r="A70" s="304">
        <v>55</v>
      </c>
      <c r="B70" s="49" t="s">
        <v>159</v>
      </c>
      <c r="C70" s="50" t="s">
        <v>997</v>
      </c>
      <c r="D70" s="50"/>
      <c r="E70" s="59">
        <v>1979</v>
      </c>
      <c r="F70" s="54"/>
      <c r="G70" s="60" t="s">
        <v>87</v>
      </c>
      <c r="H70" s="54">
        <v>5</v>
      </c>
      <c r="I70" s="54">
        <v>8</v>
      </c>
      <c r="J70" s="55">
        <v>5048.3999999999996</v>
      </c>
      <c r="K70" s="61">
        <v>4504.3999999999996</v>
      </c>
      <c r="L70" s="61">
        <v>4258</v>
      </c>
      <c r="M70" s="54">
        <v>214</v>
      </c>
      <c r="N70" s="56">
        <f>'Приложение 2'!E73</f>
        <v>3061197.6</v>
      </c>
      <c r="O70" s="297">
        <v>0</v>
      </c>
      <c r="P70" s="297">
        <v>0</v>
      </c>
      <c r="Q70" s="297">
        <v>0</v>
      </c>
      <c r="R70" s="297">
        <f t="shared" si="1"/>
        <v>3061197.6</v>
      </c>
      <c r="S70" s="319">
        <f t="shared" si="2"/>
        <v>679.60163395790789</v>
      </c>
      <c r="T70" s="297">
        <v>4180</v>
      </c>
      <c r="U70" s="46" t="s">
        <v>225</v>
      </c>
    </row>
    <row r="71" spans="1:21" ht="9" hidden="1" customHeight="1">
      <c r="A71" s="304">
        <v>56</v>
      </c>
      <c r="B71" s="49" t="s">
        <v>160</v>
      </c>
      <c r="C71" s="50" t="s">
        <v>1000</v>
      </c>
      <c r="D71" s="50"/>
      <c r="E71" s="59">
        <v>1984</v>
      </c>
      <c r="F71" s="54"/>
      <c r="G71" s="60" t="s">
        <v>87</v>
      </c>
      <c r="H71" s="54">
        <v>5</v>
      </c>
      <c r="I71" s="54">
        <v>1</v>
      </c>
      <c r="J71" s="55">
        <v>2815.9</v>
      </c>
      <c r="K71" s="61">
        <v>2530.6999999999998</v>
      </c>
      <c r="L71" s="61">
        <v>1963</v>
      </c>
      <c r="M71" s="54">
        <v>126</v>
      </c>
      <c r="N71" s="56">
        <f>'Приложение 2'!E74</f>
        <v>1966795.3299999998</v>
      </c>
      <c r="O71" s="297">
        <v>0</v>
      </c>
      <c r="P71" s="297">
        <v>0</v>
      </c>
      <c r="Q71" s="297">
        <v>0</v>
      </c>
      <c r="R71" s="297">
        <f t="shared" si="1"/>
        <v>1966795.3299999998</v>
      </c>
      <c r="S71" s="319">
        <f t="shared" si="2"/>
        <v>777.17442999960485</v>
      </c>
      <c r="T71" s="297">
        <v>5307.56</v>
      </c>
      <c r="U71" s="46" t="s">
        <v>225</v>
      </c>
    </row>
    <row r="72" spans="1:21" ht="9" hidden="1" customHeight="1">
      <c r="A72" s="304">
        <v>57</v>
      </c>
      <c r="B72" s="49" t="s">
        <v>415</v>
      </c>
      <c r="C72" s="62" t="s">
        <v>997</v>
      </c>
      <c r="D72" s="62"/>
      <c r="E72" s="294" t="s">
        <v>0</v>
      </c>
      <c r="F72" s="294"/>
      <c r="G72" s="304" t="s">
        <v>89</v>
      </c>
      <c r="H72" s="294">
        <v>5</v>
      </c>
      <c r="I72" s="294">
        <v>4</v>
      </c>
      <c r="J72" s="61">
        <v>3852.6</v>
      </c>
      <c r="K72" s="61">
        <v>3552.6</v>
      </c>
      <c r="L72" s="61">
        <v>3552.6</v>
      </c>
      <c r="M72" s="294">
        <v>163</v>
      </c>
      <c r="N72" s="56">
        <f>'Приложение 2'!E75</f>
        <v>2624889.88</v>
      </c>
      <c r="O72" s="297">
        <v>0</v>
      </c>
      <c r="P72" s="297">
        <v>0</v>
      </c>
      <c r="Q72" s="297">
        <v>0</v>
      </c>
      <c r="R72" s="297">
        <f t="shared" si="1"/>
        <v>2624889.88</v>
      </c>
      <c r="S72" s="319">
        <f t="shared" si="2"/>
        <v>738.86445983223553</v>
      </c>
      <c r="T72" s="297">
        <v>4180</v>
      </c>
      <c r="U72" s="46" t="s">
        <v>225</v>
      </c>
    </row>
    <row r="73" spans="1:21" ht="9" hidden="1" customHeight="1">
      <c r="A73" s="304">
        <v>58</v>
      </c>
      <c r="B73" s="49" t="s">
        <v>414</v>
      </c>
      <c r="C73" s="62" t="s">
        <v>997</v>
      </c>
      <c r="D73" s="62"/>
      <c r="E73" s="294" t="s">
        <v>0</v>
      </c>
      <c r="F73" s="294"/>
      <c r="G73" s="304" t="s">
        <v>89</v>
      </c>
      <c r="H73" s="294">
        <v>5</v>
      </c>
      <c r="I73" s="294">
        <v>4</v>
      </c>
      <c r="J73" s="61">
        <v>3852.6</v>
      </c>
      <c r="K73" s="61">
        <v>3552.6</v>
      </c>
      <c r="L73" s="61">
        <v>3552.6</v>
      </c>
      <c r="M73" s="294">
        <v>179</v>
      </c>
      <c r="N73" s="56">
        <f>'Приложение 2'!E76</f>
        <v>2747312.93</v>
      </c>
      <c r="O73" s="297">
        <v>0</v>
      </c>
      <c r="P73" s="297">
        <v>0</v>
      </c>
      <c r="Q73" s="297">
        <v>0</v>
      </c>
      <c r="R73" s="297">
        <f t="shared" ref="R73:R122" si="3">N73</f>
        <v>2747312.93</v>
      </c>
      <c r="S73" s="319">
        <f t="shared" si="2"/>
        <v>773.32458762596411</v>
      </c>
      <c r="T73" s="297">
        <v>4180</v>
      </c>
      <c r="U73" s="46" t="s">
        <v>225</v>
      </c>
    </row>
    <row r="74" spans="1:21" ht="9" hidden="1" customHeight="1">
      <c r="A74" s="304">
        <v>59</v>
      </c>
      <c r="B74" s="49" t="s">
        <v>413</v>
      </c>
      <c r="C74" s="62" t="s">
        <v>997</v>
      </c>
      <c r="D74" s="62"/>
      <c r="E74" s="294" t="s">
        <v>0</v>
      </c>
      <c r="F74" s="294"/>
      <c r="G74" s="304" t="s">
        <v>89</v>
      </c>
      <c r="H74" s="294">
        <v>5</v>
      </c>
      <c r="I74" s="294">
        <v>4</v>
      </c>
      <c r="J74" s="61">
        <v>3852.6</v>
      </c>
      <c r="K74" s="61">
        <v>3552.6</v>
      </c>
      <c r="L74" s="61">
        <v>3552.6</v>
      </c>
      <c r="M74" s="294">
        <v>146</v>
      </c>
      <c r="N74" s="56">
        <f>'Приложение 2'!E77</f>
        <v>2607514.44</v>
      </c>
      <c r="O74" s="297">
        <v>0</v>
      </c>
      <c r="P74" s="297">
        <v>0</v>
      </c>
      <c r="Q74" s="297">
        <v>0</v>
      </c>
      <c r="R74" s="297">
        <f t="shared" si="3"/>
        <v>2607514.44</v>
      </c>
      <c r="S74" s="319">
        <f t="shared" si="2"/>
        <v>733.97355176490453</v>
      </c>
      <c r="T74" s="297">
        <v>4180</v>
      </c>
      <c r="U74" s="46" t="s">
        <v>225</v>
      </c>
    </row>
    <row r="75" spans="1:21" ht="9" hidden="1" customHeight="1">
      <c r="A75" s="304">
        <v>60</v>
      </c>
      <c r="B75" s="49" t="s">
        <v>161</v>
      </c>
      <c r="C75" s="50" t="s">
        <v>1000</v>
      </c>
      <c r="D75" s="50"/>
      <c r="E75" s="59">
        <v>1959</v>
      </c>
      <c r="F75" s="54"/>
      <c r="G75" s="60" t="s">
        <v>87</v>
      </c>
      <c r="H75" s="54">
        <v>4</v>
      </c>
      <c r="I75" s="54">
        <v>2</v>
      </c>
      <c r="J75" s="55">
        <v>1358.1</v>
      </c>
      <c r="K75" s="61">
        <v>1261</v>
      </c>
      <c r="L75" s="61">
        <v>1133.3</v>
      </c>
      <c r="M75" s="54">
        <v>64</v>
      </c>
      <c r="N75" s="56">
        <f>'Приложение 2'!E78</f>
        <v>3046446.62</v>
      </c>
      <c r="O75" s="297">
        <v>0</v>
      </c>
      <c r="P75" s="297">
        <v>0</v>
      </c>
      <c r="Q75" s="297">
        <v>0</v>
      </c>
      <c r="R75" s="297">
        <f t="shared" si="3"/>
        <v>3046446.62</v>
      </c>
      <c r="S75" s="319">
        <f t="shared" si="2"/>
        <v>2415.8973988897701</v>
      </c>
      <c r="T75" s="297">
        <v>4984.6499999999996</v>
      </c>
      <c r="U75" s="46" t="s">
        <v>225</v>
      </c>
    </row>
    <row r="76" spans="1:21" ht="9" hidden="1" customHeight="1">
      <c r="A76" s="304">
        <v>61</v>
      </c>
      <c r="B76" s="49" t="s">
        <v>162</v>
      </c>
      <c r="C76" s="50" t="s">
        <v>998</v>
      </c>
      <c r="D76" s="50"/>
      <c r="E76" s="59">
        <v>1957</v>
      </c>
      <c r="F76" s="54"/>
      <c r="G76" s="60" t="s">
        <v>87</v>
      </c>
      <c r="H76" s="54">
        <v>2</v>
      </c>
      <c r="I76" s="54">
        <v>1</v>
      </c>
      <c r="J76" s="55">
        <v>965.4</v>
      </c>
      <c r="K76" s="55">
        <v>750</v>
      </c>
      <c r="L76" s="55">
        <v>750</v>
      </c>
      <c r="M76" s="54">
        <v>51</v>
      </c>
      <c r="N76" s="56">
        <f>'Приложение 2'!E79</f>
        <v>2374615.48</v>
      </c>
      <c r="O76" s="297">
        <v>0</v>
      </c>
      <c r="P76" s="297">
        <v>0</v>
      </c>
      <c r="Q76" s="297">
        <v>0</v>
      </c>
      <c r="R76" s="297">
        <f t="shared" si="3"/>
        <v>2374615.48</v>
      </c>
      <c r="S76" s="319">
        <f t="shared" si="2"/>
        <v>3166.1539733333334</v>
      </c>
      <c r="T76" s="297">
        <v>4503.95</v>
      </c>
      <c r="U76" s="46" t="s">
        <v>225</v>
      </c>
    </row>
    <row r="77" spans="1:21" ht="9" hidden="1" customHeight="1">
      <c r="A77" s="304">
        <v>62</v>
      </c>
      <c r="B77" s="49" t="s">
        <v>163</v>
      </c>
      <c r="C77" s="50" t="s">
        <v>1000</v>
      </c>
      <c r="D77" s="50"/>
      <c r="E77" s="59">
        <v>1959</v>
      </c>
      <c r="F77" s="54"/>
      <c r="G77" s="60" t="s">
        <v>87</v>
      </c>
      <c r="H77" s="54">
        <v>3</v>
      </c>
      <c r="I77" s="54">
        <v>4</v>
      </c>
      <c r="J77" s="55">
        <v>2001</v>
      </c>
      <c r="K77" s="61">
        <v>1845</v>
      </c>
      <c r="L77" s="61">
        <v>1845</v>
      </c>
      <c r="M77" s="54">
        <v>79</v>
      </c>
      <c r="N77" s="56">
        <f>'Приложение 2'!E80</f>
        <v>3243961.2199999997</v>
      </c>
      <c r="O77" s="297">
        <v>0</v>
      </c>
      <c r="P77" s="297">
        <v>0</v>
      </c>
      <c r="Q77" s="297">
        <v>0</v>
      </c>
      <c r="R77" s="297">
        <f t="shared" si="3"/>
        <v>3243961.2199999997</v>
      </c>
      <c r="S77" s="319">
        <f t="shared" si="2"/>
        <v>1758.2445636856366</v>
      </c>
      <c r="T77" s="297">
        <f>4984.65+322.91</f>
        <v>5307.5599999999995</v>
      </c>
      <c r="U77" s="46" t="s">
        <v>225</v>
      </c>
    </row>
    <row r="78" spans="1:21" ht="9" hidden="1" customHeight="1">
      <c r="A78" s="304">
        <v>63</v>
      </c>
      <c r="B78" s="49" t="s">
        <v>164</v>
      </c>
      <c r="C78" s="50" t="s">
        <v>997</v>
      </c>
      <c r="D78" s="50"/>
      <c r="E78" s="306">
        <v>1976</v>
      </c>
      <c r="F78" s="294"/>
      <c r="G78" s="60" t="s">
        <v>87</v>
      </c>
      <c r="H78" s="294">
        <v>5</v>
      </c>
      <c r="I78" s="294">
        <v>4</v>
      </c>
      <c r="J78" s="55">
        <v>3791.2</v>
      </c>
      <c r="K78" s="61">
        <v>3483.2</v>
      </c>
      <c r="L78" s="61">
        <v>2742</v>
      </c>
      <c r="M78" s="294">
        <v>134</v>
      </c>
      <c r="N78" s="56">
        <f>'Приложение 2'!E81</f>
        <v>2561975.35</v>
      </c>
      <c r="O78" s="297">
        <v>0</v>
      </c>
      <c r="P78" s="297">
        <v>0</v>
      </c>
      <c r="Q78" s="297">
        <v>0</v>
      </c>
      <c r="R78" s="297">
        <f t="shared" si="3"/>
        <v>2561975.35</v>
      </c>
      <c r="S78" s="319">
        <f t="shared" si="2"/>
        <v>735.52346979788706</v>
      </c>
      <c r="T78" s="297">
        <v>4180</v>
      </c>
      <c r="U78" s="46" t="s">
        <v>225</v>
      </c>
    </row>
    <row r="79" spans="1:21" ht="9" hidden="1" customHeight="1">
      <c r="A79" s="304">
        <v>64</v>
      </c>
      <c r="B79" s="49" t="s">
        <v>165</v>
      </c>
      <c r="C79" s="50" t="s">
        <v>997</v>
      </c>
      <c r="D79" s="50"/>
      <c r="E79" s="59">
        <v>1975</v>
      </c>
      <c r="F79" s="54"/>
      <c r="G79" s="60" t="s">
        <v>89</v>
      </c>
      <c r="H79" s="54">
        <v>5</v>
      </c>
      <c r="I79" s="54">
        <v>6</v>
      </c>
      <c r="J79" s="55">
        <v>4849</v>
      </c>
      <c r="K79" s="61">
        <v>4471</v>
      </c>
      <c r="L79" s="61">
        <v>4471</v>
      </c>
      <c r="M79" s="54">
        <v>252</v>
      </c>
      <c r="N79" s="56">
        <f>'Приложение 2'!E82</f>
        <v>3028641.67</v>
      </c>
      <c r="O79" s="297">
        <v>0</v>
      </c>
      <c r="P79" s="297">
        <v>0</v>
      </c>
      <c r="Q79" s="297">
        <v>0</v>
      </c>
      <c r="R79" s="297">
        <f t="shared" si="3"/>
        <v>3028641.67</v>
      </c>
      <c r="S79" s="319">
        <f t="shared" si="2"/>
        <v>677.39692909863561</v>
      </c>
      <c r="T79" s="297">
        <v>4180</v>
      </c>
      <c r="U79" s="46" t="s">
        <v>225</v>
      </c>
    </row>
    <row r="80" spans="1:21" ht="10.5" hidden="1" customHeight="1">
      <c r="A80" s="304">
        <v>65</v>
      </c>
      <c r="B80" s="49" t="s">
        <v>166</v>
      </c>
      <c r="C80" s="50" t="s">
        <v>997</v>
      </c>
      <c r="D80" s="50"/>
      <c r="E80" s="306">
        <v>1985</v>
      </c>
      <c r="F80" s="294"/>
      <c r="G80" s="60" t="s">
        <v>89</v>
      </c>
      <c r="H80" s="294">
        <v>9</v>
      </c>
      <c r="I80" s="294">
        <v>3</v>
      </c>
      <c r="J80" s="55">
        <v>6518.1</v>
      </c>
      <c r="K80" s="61">
        <v>5827</v>
      </c>
      <c r="L80" s="61">
        <v>5827</v>
      </c>
      <c r="M80" s="294">
        <v>278</v>
      </c>
      <c r="N80" s="56">
        <f>'Приложение 2'!E83</f>
        <v>2320425.7799999998</v>
      </c>
      <c r="O80" s="297">
        <v>0</v>
      </c>
      <c r="P80" s="297">
        <v>0</v>
      </c>
      <c r="Q80" s="297">
        <v>0</v>
      </c>
      <c r="R80" s="297">
        <f t="shared" si="3"/>
        <v>2320425.7799999998</v>
      </c>
      <c r="S80" s="319">
        <f t="shared" si="2"/>
        <v>398.21962931182424</v>
      </c>
      <c r="T80" s="297">
        <v>4180</v>
      </c>
      <c r="U80" s="46" t="s">
        <v>225</v>
      </c>
    </row>
    <row r="81" spans="1:21" ht="9" hidden="1" customHeight="1">
      <c r="A81" s="304">
        <v>66</v>
      </c>
      <c r="B81" s="49" t="s">
        <v>167</v>
      </c>
      <c r="C81" s="50" t="s">
        <v>998</v>
      </c>
      <c r="D81" s="50"/>
      <c r="E81" s="306">
        <v>1953</v>
      </c>
      <c r="F81" s="294"/>
      <c r="G81" s="304" t="s">
        <v>87</v>
      </c>
      <c r="H81" s="294">
        <v>2</v>
      </c>
      <c r="I81" s="294">
        <v>1</v>
      </c>
      <c r="J81" s="55">
        <v>451.5</v>
      </c>
      <c r="K81" s="61">
        <v>411</v>
      </c>
      <c r="L81" s="61">
        <v>411</v>
      </c>
      <c r="M81" s="294">
        <v>18</v>
      </c>
      <c r="N81" s="56">
        <f>'Приложение 2'!E84</f>
        <v>1581769.89</v>
      </c>
      <c r="O81" s="297">
        <v>0</v>
      </c>
      <c r="P81" s="297">
        <v>0</v>
      </c>
      <c r="Q81" s="297">
        <v>0</v>
      </c>
      <c r="R81" s="297">
        <f t="shared" si="3"/>
        <v>1581769.89</v>
      </c>
      <c r="S81" s="319">
        <f t="shared" ref="S81:S130" si="4">N81/K81</f>
        <v>3848.588540145985</v>
      </c>
      <c r="T81" s="297">
        <v>4503.95</v>
      </c>
      <c r="U81" s="46" t="s">
        <v>225</v>
      </c>
    </row>
    <row r="82" spans="1:21" ht="9" hidden="1" customHeight="1">
      <c r="A82" s="304">
        <v>67</v>
      </c>
      <c r="B82" s="49" t="s">
        <v>168</v>
      </c>
      <c r="C82" s="50" t="s">
        <v>998</v>
      </c>
      <c r="D82" s="50"/>
      <c r="E82" s="306">
        <v>1954</v>
      </c>
      <c r="F82" s="294"/>
      <c r="G82" s="304" t="s">
        <v>87</v>
      </c>
      <c r="H82" s="294">
        <v>2</v>
      </c>
      <c r="I82" s="294">
        <v>2</v>
      </c>
      <c r="J82" s="55">
        <v>790.1</v>
      </c>
      <c r="K82" s="55">
        <v>714.1</v>
      </c>
      <c r="L82" s="61">
        <v>555</v>
      </c>
      <c r="M82" s="294">
        <v>26</v>
      </c>
      <c r="N82" s="56">
        <f>'Приложение 2'!E85</f>
        <v>2442918.9900000002</v>
      </c>
      <c r="O82" s="297">
        <v>0</v>
      </c>
      <c r="P82" s="297">
        <v>0</v>
      </c>
      <c r="Q82" s="297">
        <v>0</v>
      </c>
      <c r="R82" s="297">
        <f t="shared" si="3"/>
        <v>2442918.9900000002</v>
      </c>
      <c r="S82" s="319">
        <f t="shared" si="4"/>
        <v>3420.9760397703403</v>
      </c>
      <c r="T82" s="297">
        <v>4503.95</v>
      </c>
      <c r="U82" s="46" t="s">
        <v>225</v>
      </c>
    </row>
    <row r="83" spans="1:21" ht="9" hidden="1" customHeight="1">
      <c r="A83" s="304">
        <v>68</v>
      </c>
      <c r="B83" s="49" t="s">
        <v>169</v>
      </c>
      <c r="C83" s="50" t="s">
        <v>997</v>
      </c>
      <c r="D83" s="50"/>
      <c r="E83" s="59">
        <v>1984</v>
      </c>
      <c r="F83" s="54"/>
      <c r="G83" s="304" t="s">
        <v>87</v>
      </c>
      <c r="H83" s="54">
        <v>12</v>
      </c>
      <c r="I83" s="54">
        <v>1</v>
      </c>
      <c r="J83" s="55">
        <v>4691.1000000000004</v>
      </c>
      <c r="K83" s="61">
        <v>3918.9</v>
      </c>
      <c r="L83" s="61">
        <v>3840</v>
      </c>
      <c r="M83" s="54">
        <v>166</v>
      </c>
      <c r="N83" s="56">
        <f>'Приложение 2'!E86</f>
        <v>1364257.25</v>
      </c>
      <c r="O83" s="297">
        <v>0</v>
      </c>
      <c r="P83" s="297">
        <v>0</v>
      </c>
      <c r="Q83" s="297">
        <v>0</v>
      </c>
      <c r="R83" s="297">
        <f t="shared" si="3"/>
        <v>1364257.25</v>
      </c>
      <c r="S83" s="319">
        <f t="shared" si="4"/>
        <v>348.12249610860192</v>
      </c>
      <c r="T83" s="297">
        <v>4180</v>
      </c>
      <c r="U83" s="46" t="s">
        <v>225</v>
      </c>
    </row>
    <row r="84" spans="1:21" ht="9" hidden="1" customHeight="1">
      <c r="A84" s="304">
        <v>69</v>
      </c>
      <c r="B84" s="49" t="s">
        <v>170</v>
      </c>
      <c r="C84" s="50" t="s">
        <v>998</v>
      </c>
      <c r="D84" s="50"/>
      <c r="E84" s="59">
        <v>1969</v>
      </c>
      <c r="F84" s="54"/>
      <c r="G84" s="304" t="s">
        <v>87</v>
      </c>
      <c r="H84" s="54">
        <v>5</v>
      </c>
      <c r="I84" s="54">
        <v>4</v>
      </c>
      <c r="J84" s="55">
        <v>3339</v>
      </c>
      <c r="K84" s="61">
        <v>3104</v>
      </c>
      <c r="L84" s="61">
        <v>3104</v>
      </c>
      <c r="M84" s="54">
        <v>152</v>
      </c>
      <c r="N84" s="56">
        <f>'Приложение 2'!E87</f>
        <v>3827798.52</v>
      </c>
      <c r="O84" s="297">
        <v>0</v>
      </c>
      <c r="P84" s="297">
        <v>0</v>
      </c>
      <c r="Q84" s="297">
        <v>0</v>
      </c>
      <c r="R84" s="297">
        <f t="shared" si="3"/>
        <v>3827798.52</v>
      </c>
      <c r="S84" s="319">
        <f t="shared" si="4"/>
        <v>1233.182512886598</v>
      </c>
      <c r="T84" s="297">
        <v>4503.95</v>
      </c>
      <c r="U84" s="46" t="s">
        <v>225</v>
      </c>
    </row>
    <row r="85" spans="1:21" ht="9" hidden="1" customHeight="1">
      <c r="A85" s="304">
        <v>70</v>
      </c>
      <c r="B85" s="285" t="s">
        <v>171</v>
      </c>
      <c r="C85" s="306" t="s">
        <v>998</v>
      </c>
      <c r="D85" s="306"/>
      <c r="E85" s="59">
        <v>1963</v>
      </c>
      <c r="F85" s="54"/>
      <c r="G85" s="60" t="s">
        <v>87</v>
      </c>
      <c r="H85" s="54">
        <v>4</v>
      </c>
      <c r="I85" s="54">
        <v>2</v>
      </c>
      <c r="J85" s="55">
        <v>1328.9</v>
      </c>
      <c r="K85" s="55">
        <v>1205.9000000000001</v>
      </c>
      <c r="L85" s="55">
        <v>1072.17</v>
      </c>
      <c r="M85" s="54">
        <v>64</v>
      </c>
      <c r="N85" s="56">
        <f>'Приложение 2'!E88</f>
        <v>2020205.08</v>
      </c>
      <c r="O85" s="297">
        <v>0</v>
      </c>
      <c r="P85" s="297">
        <v>0</v>
      </c>
      <c r="Q85" s="297">
        <v>0</v>
      </c>
      <c r="R85" s="297">
        <f t="shared" si="3"/>
        <v>2020205.08</v>
      </c>
      <c r="S85" s="319">
        <f t="shared" si="4"/>
        <v>1675.2675014511983</v>
      </c>
      <c r="T85" s="297">
        <v>4503.95</v>
      </c>
      <c r="U85" s="46" t="s">
        <v>225</v>
      </c>
    </row>
    <row r="86" spans="1:21" ht="9" hidden="1" customHeight="1">
      <c r="A86" s="304">
        <v>71</v>
      </c>
      <c r="B86" s="285" t="s">
        <v>172</v>
      </c>
      <c r="C86" s="306" t="s">
        <v>1000</v>
      </c>
      <c r="D86" s="306"/>
      <c r="E86" s="59">
        <v>1982</v>
      </c>
      <c r="F86" s="54"/>
      <c r="G86" s="60" t="s">
        <v>87</v>
      </c>
      <c r="H86" s="54">
        <v>5</v>
      </c>
      <c r="I86" s="54">
        <v>7</v>
      </c>
      <c r="J86" s="55">
        <v>5285.9</v>
      </c>
      <c r="K86" s="55">
        <v>4638.8999999999996</v>
      </c>
      <c r="L86" s="55">
        <v>4638.8999999999996</v>
      </c>
      <c r="M86" s="54">
        <v>213</v>
      </c>
      <c r="N86" s="56">
        <f>'Приложение 2'!E89</f>
        <v>8338444.04</v>
      </c>
      <c r="O86" s="297">
        <v>0</v>
      </c>
      <c r="P86" s="297">
        <v>0</v>
      </c>
      <c r="Q86" s="297">
        <v>0</v>
      </c>
      <c r="R86" s="297">
        <f t="shared" si="3"/>
        <v>8338444.04</v>
      </c>
      <c r="S86" s="319">
        <f t="shared" si="4"/>
        <v>1797.5045894500854</v>
      </c>
      <c r="T86" s="297">
        <f>4984.65+322.91</f>
        <v>5307.5599999999995</v>
      </c>
      <c r="U86" s="46" t="s">
        <v>225</v>
      </c>
    </row>
    <row r="87" spans="1:21" ht="9" hidden="1" customHeight="1">
      <c r="A87" s="304">
        <v>72</v>
      </c>
      <c r="B87" s="285" t="s">
        <v>173</v>
      </c>
      <c r="C87" s="306" t="s">
        <v>998</v>
      </c>
      <c r="D87" s="306"/>
      <c r="E87" s="59">
        <v>1967</v>
      </c>
      <c r="F87" s="54"/>
      <c r="G87" s="60" t="s">
        <v>87</v>
      </c>
      <c r="H87" s="54">
        <v>2</v>
      </c>
      <c r="I87" s="54">
        <v>1</v>
      </c>
      <c r="J87" s="55">
        <v>943.2</v>
      </c>
      <c r="K87" s="55">
        <v>620</v>
      </c>
      <c r="L87" s="55">
        <v>620</v>
      </c>
      <c r="M87" s="54">
        <v>62</v>
      </c>
      <c r="N87" s="56">
        <f>'Приложение 2'!E90</f>
        <v>1827393.07</v>
      </c>
      <c r="O87" s="297">
        <v>0</v>
      </c>
      <c r="P87" s="297">
        <v>0</v>
      </c>
      <c r="Q87" s="297">
        <v>0</v>
      </c>
      <c r="R87" s="297">
        <f t="shared" si="3"/>
        <v>1827393.07</v>
      </c>
      <c r="S87" s="319">
        <f t="shared" si="4"/>
        <v>2947.4081774193551</v>
      </c>
      <c r="T87" s="297">
        <v>4503.95</v>
      </c>
      <c r="U87" s="46" t="s">
        <v>225</v>
      </c>
    </row>
    <row r="88" spans="1:21" ht="9" hidden="1" customHeight="1">
      <c r="A88" s="304">
        <v>73</v>
      </c>
      <c r="B88" s="285" t="s">
        <v>174</v>
      </c>
      <c r="C88" s="306" t="s">
        <v>998</v>
      </c>
      <c r="D88" s="306"/>
      <c r="E88" s="59">
        <v>1941</v>
      </c>
      <c r="F88" s="54"/>
      <c r="G88" s="60" t="s">
        <v>87</v>
      </c>
      <c r="H88" s="54">
        <v>2</v>
      </c>
      <c r="I88" s="54">
        <v>2</v>
      </c>
      <c r="J88" s="55">
        <v>781.2</v>
      </c>
      <c r="K88" s="55">
        <v>696.2</v>
      </c>
      <c r="L88" s="55">
        <v>696.2</v>
      </c>
      <c r="M88" s="54">
        <v>31</v>
      </c>
      <c r="N88" s="56">
        <f>'Приложение 2'!E91</f>
        <v>2130482.73</v>
      </c>
      <c r="O88" s="297">
        <v>0</v>
      </c>
      <c r="P88" s="297">
        <v>0</v>
      </c>
      <c r="Q88" s="297">
        <v>0</v>
      </c>
      <c r="R88" s="297">
        <f t="shared" si="3"/>
        <v>2130482.73</v>
      </c>
      <c r="S88" s="319">
        <f t="shared" si="4"/>
        <v>3060.1590491238148</v>
      </c>
      <c r="T88" s="297">
        <v>4503.95</v>
      </c>
      <c r="U88" s="46" t="s">
        <v>225</v>
      </c>
    </row>
    <row r="89" spans="1:21" ht="9" hidden="1" customHeight="1">
      <c r="A89" s="304">
        <v>74</v>
      </c>
      <c r="B89" s="285" t="s">
        <v>175</v>
      </c>
      <c r="C89" s="306" t="s">
        <v>997</v>
      </c>
      <c r="D89" s="306"/>
      <c r="E89" s="63">
        <v>1984</v>
      </c>
      <c r="F89" s="54"/>
      <c r="G89" s="60" t="s">
        <v>87</v>
      </c>
      <c r="H89" s="54">
        <v>5</v>
      </c>
      <c r="I89" s="54">
        <v>4</v>
      </c>
      <c r="J89" s="55">
        <v>3066.1</v>
      </c>
      <c r="K89" s="55">
        <v>2771.7</v>
      </c>
      <c r="L89" s="55">
        <v>2771.7</v>
      </c>
      <c r="M89" s="54">
        <v>98</v>
      </c>
      <c r="N89" s="56">
        <f>'Приложение 2'!E92</f>
        <v>2151018.02</v>
      </c>
      <c r="O89" s="297">
        <v>0</v>
      </c>
      <c r="P89" s="297">
        <v>0</v>
      </c>
      <c r="Q89" s="297">
        <v>0</v>
      </c>
      <c r="R89" s="297">
        <f t="shared" si="3"/>
        <v>2151018.02</v>
      </c>
      <c r="S89" s="319">
        <f t="shared" si="4"/>
        <v>776.06451636179963</v>
      </c>
      <c r="T89" s="297">
        <v>4180</v>
      </c>
      <c r="U89" s="46" t="s">
        <v>225</v>
      </c>
    </row>
    <row r="90" spans="1:21" ht="9.75" hidden="1" customHeight="1">
      <c r="A90" s="304">
        <v>75</v>
      </c>
      <c r="B90" s="285" t="s">
        <v>176</v>
      </c>
      <c r="C90" s="306" t="s">
        <v>997</v>
      </c>
      <c r="D90" s="306"/>
      <c r="E90" s="63">
        <v>1976</v>
      </c>
      <c r="F90" s="54"/>
      <c r="G90" s="64" t="s">
        <v>89</v>
      </c>
      <c r="H90" s="54">
        <v>5</v>
      </c>
      <c r="I90" s="54">
        <v>4</v>
      </c>
      <c r="J90" s="55">
        <v>3680.1</v>
      </c>
      <c r="K90" s="55">
        <v>3359.1</v>
      </c>
      <c r="L90" s="55">
        <v>3249.8</v>
      </c>
      <c r="M90" s="54">
        <v>145</v>
      </c>
      <c r="N90" s="56">
        <f>'Приложение 2'!E93</f>
        <v>3115364.86</v>
      </c>
      <c r="O90" s="297">
        <v>0</v>
      </c>
      <c r="P90" s="297">
        <v>0</v>
      </c>
      <c r="Q90" s="297">
        <v>0</v>
      </c>
      <c r="R90" s="297">
        <f t="shared" si="3"/>
        <v>3115364.86</v>
      </c>
      <c r="S90" s="319">
        <f t="shared" si="4"/>
        <v>927.44034413979932</v>
      </c>
      <c r="T90" s="297">
        <v>4180</v>
      </c>
      <c r="U90" s="46" t="s">
        <v>225</v>
      </c>
    </row>
    <row r="91" spans="1:21" ht="9" hidden="1" customHeight="1">
      <c r="A91" s="304">
        <v>76</v>
      </c>
      <c r="B91" s="285" t="s">
        <v>177</v>
      </c>
      <c r="C91" s="306" t="s">
        <v>997</v>
      </c>
      <c r="D91" s="306"/>
      <c r="E91" s="59">
        <v>1978</v>
      </c>
      <c r="F91" s="54"/>
      <c r="G91" s="60" t="s">
        <v>87</v>
      </c>
      <c r="H91" s="54">
        <v>5</v>
      </c>
      <c r="I91" s="54">
        <v>2</v>
      </c>
      <c r="J91" s="55">
        <v>3728.6</v>
      </c>
      <c r="K91" s="55">
        <v>3039.6</v>
      </c>
      <c r="L91" s="55">
        <v>3027.9</v>
      </c>
      <c r="M91" s="54">
        <v>148</v>
      </c>
      <c r="N91" s="56">
        <f>'Приложение 2'!E94</f>
        <v>3010204.83</v>
      </c>
      <c r="O91" s="297">
        <v>0</v>
      </c>
      <c r="P91" s="297">
        <v>0</v>
      </c>
      <c r="Q91" s="297">
        <v>0</v>
      </c>
      <c r="R91" s="297">
        <f t="shared" si="3"/>
        <v>3010204.83</v>
      </c>
      <c r="S91" s="319">
        <f t="shared" si="4"/>
        <v>990.3292637189104</v>
      </c>
      <c r="T91" s="297">
        <f>IF('Приложение 2'!J94="скатная",3605.25,4180)</f>
        <v>4180</v>
      </c>
      <c r="U91" s="46" t="s">
        <v>225</v>
      </c>
    </row>
    <row r="92" spans="1:21" ht="9" hidden="1" customHeight="1">
      <c r="A92" s="304">
        <v>77</v>
      </c>
      <c r="B92" s="285" t="s">
        <v>178</v>
      </c>
      <c r="C92" s="306" t="s">
        <v>998</v>
      </c>
      <c r="D92" s="306"/>
      <c r="E92" s="63">
        <v>1965</v>
      </c>
      <c r="F92" s="54"/>
      <c r="G92" s="64" t="s">
        <v>87</v>
      </c>
      <c r="H92" s="54">
        <v>5</v>
      </c>
      <c r="I92" s="54">
        <v>2</v>
      </c>
      <c r="J92" s="55">
        <v>1756.7</v>
      </c>
      <c r="K92" s="55">
        <v>1633.7</v>
      </c>
      <c r="L92" s="55">
        <v>1633.7</v>
      </c>
      <c r="M92" s="54">
        <v>63</v>
      </c>
      <c r="N92" s="56">
        <f>'Приложение 2'!E95</f>
        <v>1760498</v>
      </c>
      <c r="O92" s="297">
        <v>0</v>
      </c>
      <c r="P92" s="297">
        <v>0</v>
      </c>
      <c r="Q92" s="297">
        <v>0</v>
      </c>
      <c r="R92" s="297">
        <f t="shared" si="3"/>
        <v>1760498</v>
      </c>
      <c r="S92" s="319">
        <f t="shared" si="4"/>
        <v>1077.6140050192814</v>
      </c>
      <c r="T92" s="297">
        <v>4503.95</v>
      </c>
      <c r="U92" s="46" t="s">
        <v>225</v>
      </c>
    </row>
    <row r="93" spans="1:21" ht="9" hidden="1" customHeight="1">
      <c r="A93" s="304">
        <v>78</v>
      </c>
      <c r="B93" s="285" t="s">
        <v>179</v>
      </c>
      <c r="C93" s="306" t="s">
        <v>997</v>
      </c>
      <c r="D93" s="306"/>
      <c r="E93" s="59">
        <v>1986</v>
      </c>
      <c r="F93" s="54"/>
      <c r="G93" s="60" t="s">
        <v>87</v>
      </c>
      <c r="H93" s="54">
        <v>5</v>
      </c>
      <c r="I93" s="54">
        <v>1</v>
      </c>
      <c r="J93" s="55">
        <v>2963.8</v>
      </c>
      <c r="K93" s="55">
        <v>2862.8</v>
      </c>
      <c r="L93" s="55">
        <v>836.4</v>
      </c>
      <c r="M93" s="54">
        <v>43</v>
      </c>
      <c r="N93" s="56">
        <f>'Приложение 2'!E96</f>
        <v>782580.19</v>
      </c>
      <c r="O93" s="297">
        <v>0</v>
      </c>
      <c r="P93" s="297">
        <v>0</v>
      </c>
      <c r="Q93" s="297">
        <v>0</v>
      </c>
      <c r="R93" s="297">
        <f t="shared" si="3"/>
        <v>782580.19</v>
      </c>
      <c r="S93" s="319">
        <f t="shared" si="4"/>
        <v>273.36181011597034</v>
      </c>
      <c r="T93" s="297">
        <v>4180</v>
      </c>
      <c r="U93" s="46" t="s">
        <v>225</v>
      </c>
    </row>
    <row r="94" spans="1:21" ht="9.75" hidden="1" customHeight="1">
      <c r="A94" s="304">
        <v>79</v>
      </c>
      <c r="B94" s="285" t="s">
        <v>7</v>
      </c>
      <c r="C94" s="306" t="s">
        <v>997</v>
      </c>
      <c r="D94" s="306"/>
      <c r="E94" s="65" t="s">
        <v>296</v>
      </c>
      <c r="F94" s="66"/>
      <c r="G94" s="67" t="s">
        <v>87</v>
      </c>
      <c r="H94" s="54">
        <v>5</v>
      </c>
      <c r="I94" s="54">
        <v>9</v>
      </c>
      <c r="J94" s="55">
        <v>7333.6</v>
      </c>
      <c r="K94" s="55">
        <v>6772.6</v>
      </c>
      <c r="L94" s="55">
        <v>6146.5</v>
      </c>
      <c r="M94" s="54">
        <v>137</v>
      </c>
      <c r="N94" s="56">
        <f>'Приложение 2'!E97</f>
        <v>3084107.4</v>
      </c>
      <c r="O94" s="297">
        <v>0</v>
      </c>
      <c r="P94" s="297">
        <v>0</v>
      </c>
      <c r="Q94" s="297">
        <v>0</v>
      </c>
      <c r="R94" s="297">
        <f t="shared" si="3"/>
        <v>3084107.4</v>
      </c>
      <c r="S94" s="319">
        <f t="shared" si="4"/>
        <v>455.38011989487046</v>
      </c>
      <c r="T94" s="297">
        <v>4180</v>
      </c>
      <c r="U94" s="46" t="s">
        <v>225</v>
      </c>
    </row>
    <row r="95" spans="1:21" ht="9" hidden="1" customHeight="1">
      <c r="A95" s="304">
        <v>80</v>
      </c>
      <c r="B95" s="285" t="s">
        <v>180</v>
      </c>
      <c r="C95" s="306" t="s">
        <v>998</v>
      </c>
      <c r="D95" s="306"/>
      <c r="E95" s="63">
        <v>1969</v>
      </c>
      <c r="F95" s="54"/>
      <c r="G95" s="64" t="s">
        <v>87</v>
      </c>
      <c r="H95" s="54">
        <v>5</v>
      </c>
      <c r="I95" s="54">
        <v>2</v>
      </c>
      <c r="J95" s="55">
        <v>1920.91</v>
      </c>
      <c r="K95" s="55">
        <v>1764.91</v>
      </c>
      <c r="L95" s="55">
        <v>1764.91</v>
      </c>
      <c r="M95" s="54">
        <v>76</v>
      </c>
      <c r="N95" s="56">
        <f>'Приложение 2'!E98</f>
        <v>2223789.4500000002</v>
      </c>
      <c r="O95" s="297">
        <v>0</v>
      </c>
      <c r="P95" s="297">
        <v>0</v>
      </c>
      <c r="Q95" s="297">
        <v>0</v>
      </c>
      <c r="R95" s="297">
        <f t="shared" si="3"/>
        <v>2223789.4500000002</v>
      </c>
      <c r="S95" s="319">
        <f t="shared" si="4"/>
        <v>1260.0016148132199</v>
      </c>
      <c r="T95" s="297">
        <v>4503.95</v>
      </c>
      <c r="U95" s="46" t="s">
        <v>225</v>
      </c>
    </row>
    <row r="96" spans="1:21" ht="9" hidden="1" customHeight="1">
      <c r="A96" s="304">
        <v>81</v>
      </c>
      <c r="B96" s="285" t="s">
        <v>181</v>
      </c>
      <c r="C96" s="306" t="s">
        <v>1000</v>
      </c>
      <c r="D96" s="306"/>
      <c r="E96" s="59">
        <v>1978</v>
      </c>
      <c r="F96" s="54"/>
      <c r="G96" s="60" t="s">
        <v>89</v>
      </c>
      <c r="H96" s="54">
        <v>5</v>
      </c>
      <c r="I96" s="54">
        <v>4</v>
      </c>
      <c r="J96" s="55">
        <v>3511.8</v>
      </c>
      <c r="K96" s="55">
        <v>3188.7</v>
      </c>
      <c r="L96" s="55">
        <v>3188.7</v>
      </c>
      <c r="M96" s="54">
        <v>133</v>
      </c>
      <c r="N96" s="56">
        <f>'Приложение 2'!E99</f>
        <v>4919643.5200000005</v>
      </c>
      <c r="O96" s="297">
        <v>0</v>
      </c>
      <c r="P96" s="297">
        <v>0</v>
      </c>
      <c r="Q96" s="297">
        <v>0</v>
      </c>
      <c r="R96" s="297">
        <f t="shared" si="3"/>
        <v>4919643.5200000005</v>
      </c>
      <c r="S96" s="319">
        <f t="shared" si="4"/>
        <v>1542.8367422460567</v>
      </c>
      <c r="T96" s="337">
        <f>4984.65+322.91</f>
        <v>5307.5599999999995</v>
      </c>
      <c r="U96" s="46" t="s">
        <v>225</v>
      </c>
    </row>
    <row r="97" spans="1:21" ht="9" hidden="1" customHeight="1">
      <c r="A97" s="304">
        <v>82</v>
      </c>
      <c r="B97" s="285" t="s">
        <v>182</v>
      </c>
      <c r="C97" s="306" t="s">
        <v>997</v>
      </c>
      <c r="D97" s="306"/>
      <c r="E97" s="59">
        <v>1971</v>
      </c>
      <c r="F97" s="54"/>
      <c r="G97" s="60" t="s">
        <v>89</v>
      </c>
      <c r="H97" s="54">
        <v>5</v>
      </c>
      <c r="I97" s="54">
        <v>2</v>
      </c>
      <c r="J97" s="55">
        <v>2818.1</v>
      </c>
      <c r="K97" s="55">
        <v>1394.7</v>
      </c>
      <c r="L97" s="55">
        <v>1394.7</v>
      </c>
      <c r="M97" s="54">
        <v>170</v>
      </c>
      <c r="N97" s="56">
        <f>'Приложение 2'!E100</f>
        <v>2271445.9900000002</v>
      </c>
      <c r="O97" s="297">
        <v>0</v>
      </c>
      <c r="P97" s="297">
        <v>0</v>
      </c>
      <c r="Q97" s="297">
        <v>0</v>
      </c>
      <c r="R97" s="297">
        <f t="shared" si="3"/>
        <v>2271445.9900000002</v>
      </c>
      <c r="S97" s="319">
        <f t="shared" si="4"/>
        <v>1628.6269376926939</v>
      </c>
      <c r="T97" s="297">
        <v>4180</v>
      </c>
      <c r="U97" s="46" t="s">
        <v>225</v>
      </c>
    </row>
    <row r="98" spans="1:21" ht="9" hidden="1" customHeight="1">
      <c r="A98" s="304">
        <v>83</v>
      </c>
      <c r="B98" s="285" t="s">
        <v>183</v>
      </c>
      <c r="C98" s="306" t="s">
        <v>997</v>
      </c>
      <c r="D98" s="306"/>
      <c r="E98" s="59">
        <v>1987</v>
      </c>
      <c r="F98" s="54"/>
      <c r="G98" s="60" t="s">
        <v>89</v>
      </c>
      <c r="H98" s="54">
        <v>5</v>
      </c>
      <c r="I98" s="54">
        <v>4</v>
      </c>
      <c r="J98" s="55">
        <v>3153.4</v>
      </c>
      <c r="K98" s="55">
        <v>2835.4</v>
      </c>
      <c r="L98" s="55">
        <v>2835.4</v>
      </c>
      <c r="M98" s="54">
        <v>152</v>
      </c>
      <c r="N98" s="56">
        <f>'Приложение 2'!E101</f>
        <v>2838710.62</v>
      </c>
      <c r="O98" s="297">
        <v>0</v>
      </c>
      <c r="P98" s="297">
        <v>0</v>
      </c>
      <c r="Q98" s="297">
        <v>0</v>
      </c>
      <c r="R98" s="297">
        <f t="shared" si="3"/>
        <v>2838710.62</v>
      </c>
      <c r="S98" s="319">
        <f t="shared" si="4"/>
        <v>1001.1676024546802</v>
      </c>
      <c r="T98" s="297">
        <v>4180</v>
      </c>
      <c r="U98" s="46" t="s">
        <v>225</v>
      </c>
    </row>
    <row r="99" spans="1:21" ht="9" hidden="1" customHeight="1">
      <c r="A99" s="304">
        <v>84</v>
      </c>
      <c r="B99" s="285" t="s">
        <v>390</v>
      </c>
      <c r="C99" s="306" t="s">
        <v>997</v>
      </c>
      <c r="D99" s="306"/>
      <c r="E99" s="63">
        <v>1972</v>
      </c>
      <c r="F99" s="54"/>
      <c r="G99" s="64" t="s">
        <v>89</v>
      </c>
      <c r="H99" s="54">
        <v>5</v>
      </c>
      <c r="I99" s="54">
        <v>4</v>
      </c>
      <c r="J99" s="55">
        <v>3578</v>
      </c>
      <c r="K99" s="55">
        <v>3309</v>
      </c>
      <c r="L99" s="55">
        <v>3309</v>
      </c>
      <c r="M99" s="54">
        <v>167</v>
      </c>
      <c r="N99" s="56">
        <f>'Приложение 2'!E102</f>
        <v>3213295.51</v>
      </c>
      <c r="O99" s="297">
        <v>0</v>
      </c>
      <c r="P99" s="297">
        <v>0</v>
      </c>
      <c r="Q99" s="297">
        <v>0</v>
      </c>
      <c r="R99" s="297">
        <f t="shared" si="3"/>
        <v>3213295.51</v>
      </c>
      <c r="S99" s="319">
        <f t="shared" si="4"/>
        <v>971.07751888788152</v>
      </c>
      <c r="T99" s="297">
        <v>4180</v>
      </c>
      <c r="U99" s="46" t="s">
        <v>225</v>
      </c>
    </row>
    <row r="100" spans="1:21" ht="9" hidden="1" customHeight="1">
      <c r="A100" s="304">
        <v>85</v>
      </c>
      <c r="B100" s="285" t="s">
        <v>184</v>
      </c>
      <c r="C100" s="306" t="s">
        <v>997</v>
      </c>
      <c r="D100" s="306"/>
      <c r="E100" s="63">
        <v>1993</v>
      </c>
      <c r="F100" s="54"/>
      <c r="G100" s="64" t="s">
        <v>89</v>
      </c>
      <c r="H100" s="54">
        <v>5</v>
      </c>
      <c r="I100" s="54">
        <v>2</v>
      </c>
      <c r="J100" s="55">
        <v>1598.1</v>
      </c>
      <c r="K100" s="55">
        <v>1469.3</v>
      </c>
      <c r="L100" s="55">
        <v>1469.3</v>
      </c>
      <c r="M100" s="54">
        <v>69</v>
      </c>
      <c r="N100" s="56">
        <f>'Приложение 2'!E103</f>
        <v>1227007.33</v>
      </c>
      <c r="O100" s="297">
        <v>0</v>
      </c>
      <c r="P100" s="297">
        <v>0</v>
      </c>
      <c r="Q100" s="297">
        <v>0</v>
      </c>
      <c r="R100" s="297">
        <f t="shared" si="3"/>
        <v>1227007.33</v>
      </c>
      <c r="S100" s="319">
        <f t="shared" si="4"/>
        <v>835.09652895936847</v>
      </c>
      <c r="T100" s="297">
        <v>4180</v>
      </c>
      <c r="U100" s="46" t="s">
        <v>225</v>
      </c>
    </row>
    <row r="101" spans="1:21" ht="9.75" hidden="1" customHeight="1">
      <c r="A101" s="304">
        <v>86</v>
      </c>
      <c r="B101" s="62" t="s">
        <v>216</v>
      </c>
      <c r="C101" s="59" t="s">
        <v>1000</v>
      </c>
      <c r="D101" s="59"/>
      <c r="E101" s="65" t="s">
        <v>217</v>
      </c>
      <c r="F101" s="66"/>
      <c r="G101" s="67" t="s">
        <v>87</v>
      </c>
      <c r="H101" s="54">
        <v>3</v>
      </c>
      <c r="I101" s="54">
        <v>2</v>
      </c>
      <c r="J101" s="55">
        <v>1176.8</v>
      </c>
      <c r="K101" s="55">
        <v>1027.7</v>
      </c>
      <c r="L101" s="55">
        <v>1027.0999999999999</v>
      </c>
      <c r="M101" s="54">
        <v>18</v>
      </c>
      <c r="N101" s="56">
        <f>'Приложение 2'!E104</f>
        <v>1117783.42</v>
      </c>
      <c r="O101" s="297">
        <v>0</v>
      </c>
      <c r="P101" s="297">
        <v>0</v>
      </c>
      <c r="Q101" s="297">
        <v>0</v>
      </c>
      <c r="R101" s="297">
        <f t="shared" si="3"/>
        <v>1117783.42</v>
      </c>
      <c r="S101" s="319">
        <f t="shared" si="4"/>
        <v>1087.6553663520481</v>
      </c>
      <c r="T101" s="297">
        <v>4984.6499999999996</v>
      </c>
      <c r="U101" s="46" t="s">
        <v>225</v>
      </c>
    </row>
    <row r="102" spans="1:21" ht="9" hidden="1" customHeight="1">
      <c r="A102" s="304">
        <v>87</v>
      </c>
      <c r="B102" s="285" t="s">
        <v>1040</v>
      </c>
      <c r="C102" s="306" t="s">
        <v>998</v>
      </c>
      <c r="D102" s="306"/>
      <c r="E102" s="65" t="s">
        <v>105</v>
      </c>
      <c r="F102" s="66"/>
      <c r="G102" s="67" t="s">
        <v>87</v>
      </c>
      <c r="H102" s="54">
        <v>5</v>
      </c>
      <c r="I102" s="54">
        <v>3</v>
      </c>
      <c r="J102" s="55">
        <v>6805.2</v>
      </c>
      <c r="K102" s="55">
        <v>6155.2</v>
      </c>
      <c r="L102" s="55">
        <v>4804</v>
      </c>
      <c r="M102" s="54">
        <v>51</v>
      </c>
      <c r="N102" s="56">
        <f>'Приложение 2'!E105</f>
        <v>6881704.5800000001</v>
      </c>
      <c r="O102" s="297">
        <v>0</v>
      </c>
      <c r="P102" s="297">
        <v>0</v>
      </c>
      <c r="Q102" s="297">
        <v>0</v>
      </c>
      <c r="R102" s="297">
        <f t="shared" si="3"/>
        <v>6881704.5800000001</v>
      </c>
      <c r="S102" s="319">
        <f t="shared" si="4"/>
        <v>1118.0310274239669</v>
      </c>
      <c r="T102" s="297">
        <v>4503.95</v>
      </c>
      <c r="U102" s="46" t="s">
        <v>225</v>
      </c>
    </row>
    <row r="103" spans="1:21" ht="9" hidden="1" customHeight="1">
      <c r="A103" s="304">
        <v>88</v>
      </c>
      <c r="B103" s="285" t="s">
        <v>1041</v>
      </c>
      <c r="C103" s="306" t="s">
        <v>998</v>
      </c>
      <c r="D103" s="306"/>
      <c r="E103" s="59">
        <v>1959</v>
      </c>
      <c r="F103" s="54"/>
      <c r="G103" s="60" t="s">
        <v>87</v>
      </c>
      <c r="H103" s="54">
        <v>5</v>
      </c>
      <c r="I103" s="54">
        <v>4</v>
      </c>
      <c r="J103" s="55">
        <v>2527.35</v>
      </c>
      <c r="K103" s="55">
        <v>2241.35</v>
      </c>
      <c r="L103" s="55">
        <v>1849.89</v>
      </c>
      <c r="M103" s="54">
        <v>62</v>
      </c>
      <c r="N103" s="56">
        <f>'Приложение 2'!E106</f>
        <v>3022877.39</v>
      </c>
      <c r="O103" s="297">
        <v>0</v>
      </c>
      <c r="P103" s="297">
        <v>0</v>
      </c>
      <c r="Q103" s="297">
        <v>0</v>
      </c>
      <c r="R103" s="297">
        <f t="shared" si="3"/>
        <v>3022877.39</v>
      </c>
      <c r="S103" s="319">
        <f t="shared" si="4"/>
        <v>1348.6860106632164</v>
      </c>
      <c r="T103" s="297">
        <v>4503.95</v>
      </c>
      <c r="U103" s="46" t="s">
        <v>225</v>
      </c>
    </row>
    <row r="104" spans="1:21" ht="9" hidden="1" customHeight="1">
      <c r="A104" s="304">
        <v>89</v>
      </c>
      <c r="B104" s="285" t="s">
        <v>187</v>
      </c>
      <c r="C104" s="306" t="s">
        <v>998</v>
      </c>
      <c r="D104" s="306"/>
      <c r="E104" s="59">
        <v>1959</v>
      </c>
      <c r="F104" s="54"/>
      <c r="G104" s="60" t="s">
        <v>87</v>
      </c>
      <c r="H104" s="54">
        <v>4</v>
      </c>
      <c r="I104" s="54">
        <v>4</v>
      </c>
      <c r="J104" s="55">
        <v>2916.93</v>
      </c>
      <c r="K104" s="55">
        <v>2716.93</v>
      </c>
      <c r="L104" s="55">
        <v>2683.6</v>
      </c>
      <c r="M104" s="54">
        <v>94</v>
      </c>
      <c r="N104" s="56">
        <f>'Приложение 2'!E107</f>
        <v>3409279.78</v>
      </c>
      <c r="O104" s="297">
        <v>0</v>
      </c>
      <c r="P104" s="297">
        <v>0</v>
      </c>
      <c r="Q104" s="297">
        <v>0</v>
      </c>
      <c r="R104" s="297">
        <f t="shared" si="3"/>
        <v>3409279.78</v>
      </c>
      <c r="S104" s="319">
        <f t="shared" si="4"/>
        <v>1254.8279786376536</v>
      </c>
      <c r="T104" s="297">
        <v>4503.95</v>
      </c>
      <c r="U104" s="46" t="s">
        <v>225</v>
      </c>
    </row>
    <row r="105" spans="1:21" ht="9" hidden="1" customHeight="1">
      <c r="A105" s="304">
        <v>90</v>
      </c>
      <c r="B105" s="285" t="s">
        <v>188</v>
      </c>
      <c r="C105" s="306" t="s">
        <v>997</v>
      </c>
      <c r="D105" s="306"/>
      <c r="E105" s="63">
        <v>1971</v>
      </c>
      <c r="F105" s="54"/>
      <c r="G105" s="64" t="s">
        <v>204</v>
      </c>
      <c r="H105" s="54">
        <v>5</v>
      </c>
      <c r="I105" s="54">
        <v>4</v>
      </c>
      <c r="J105" s="55">
        <v>4284.1000000000004</v>
      </c>
      <c r="K105" s="55">
        <v>3903.2</v>
      </c>
      <c r="L105" s="55">
        <v>3903.2</v>
      </c>
      <c r="M105" s="54">
        <v>163</v>
      </c>
      <c r="N105" s="56">
        <f>'Приложение 2'!E108</f>
        <v>3520956.94</v>
      </c>
      <c r="O105" s="297">
        <v>0</v>
      </c>
      <c r="P105" s="297">
        <v>0</v>
      </c>
      <c r="Q105" s="297">
        <v>0</v>
      </c>
      <c r="R105" s="297">
        <f t="shared" si="3"/>
        <v>3520956.94</v>
      </c>
      <c r="S105" s="319">
        <f t="shared" si="4"/>
        <v>902.06931235908996</v>
      </c>
      <c r="T105" s="297">
        <v>4180</v>
      </c>
      <c r="U105" s="46" t="s">
        <v>225</v>
      </c>
    </row>
    <row r="106" spans="1:21" ht="9" hidden="1" customHeight="1">
      <c r="A106" s="304">
        <v>91</v>
      </c>
      <c r="B106" s="285" t="s">
        <v>189</v>
      </c>
      <c r="C106" s="306" t="s">
        <v>998</v>
      </c>
      <c r="D106" s="306"/>
      <c r="E106" s="63">
        <v>1969</v>
      </c>
      <c r="F106" s="54"/>
      <c r="G106" s="64" t="s">
        <v>87</v>
      </c>
      <c r="H106" s="54">
        <v>5</v>
      </c>
      <c r="I106" s="54">
        <v>6</v>
      </c>
      <c r="J106" s="55">
        <v>5624.4</v>
      </c>
      <c r="K106" s="55">
        <v>5023.3999999999996</v>
      </c>
      <c r="L106" s="55">
        <v>4333.5</v>
      </c>
      <c r="M106" s="54">
        <v>180</v>
      </c>
      <c r="N106" s="56">
        <f>'Приложение 2'!E109</f>
        <v>4171971.74</v>
      </c>
      <c r="O106" s="297">
        <v>0</v>
      </c>
      <c r="P106" s="297">
        <v>0</v>
      </c>
      <c r="Q106" s="297">
        <v>0</v>
      </c>
      <c r="R106" s="297">
        <f t="shared" si="3"/>
        <v>4171971.74</v>
      </c>
      <c r="S106" s="319">
        <f t="shared" si="4"/>
        <v>830.50757256041732</v>
      </c>
      <c r="T106" s="297">
        <v>4503.95</v>
      </c>
      <c r="U106" s="46" t="s">
        <v>225</v>
      </c>
    </row>
    <row r="107" spans="1:21" ht="9" hidden="1" customHeight="1">
      <c r="A107" s="304">
        <v>92</v>
      </c>
      <c r="B107" s="285" t="s">
        <v>190</v>
      </c>
      <c r="C107" s="306" t="s">
        <v>998</v>
      </c>
      <c r="D107" s="306"/>
      <c r="E107" s="59">
        <v>1968</v>
      </c>
      <c r="F107" s="54"/>
      <c r="G107" s="60" t="s">
        <v>87</v>
      </c>
      <c r="H107" s="54">
        <v>4</v>
      </c>
      <c r="I107" s="54">
        <v>1</v>
      </c>
      <c r="J107" s="55">
        <v>2114.9</v>
      </c>
      <c r="K107" s="55">
        <v>1295.9000000000001</v>
      </c>
      <c r="L107" s="55">
        <v>1295.9000000000001</v>
      </c>
      <c r="M107" s="54">
        <v>128</v>
      </c>
      <c r="N107" s="56">
        <f>'Приложение 2'!E110</f>
        <v>2491750.42</v>
      </c>
      <c r="O107" s="297">
        <v>0</v>
      </c>
      <c r="P107" s="297">
        <v>0</v>
      </c>
      <c r="Q107" s="297">
        <v>0</v>
      </c>
      <c r="R107" s="297">
        <f t="shared" si="3"/>
        <v>2491750.42</v>
      </c>
      <c r="S107" s="319">
        <f t="shared" si="4"/>
        <v>1922.79529284667</v>
      </c>
      <c r="T107" s="297">
        <v>4503.95</v>
      </c>
      <c r="U107" s="46" t="s">
        <v>225</v>
      </c>
    </row>
    <row r="108" spans="1:21" ht="9.75" hidden="1" customHeight="1">
      <c r="A108" s="304">
        <v>93</v>
      </c>
      <c r="B108" s="62" t="s">
        <v>323</v>
      </c>
      <c r="C108" s="59" t="s">
        <v>997</v>
      </c>
      <c r="D108" s="59"/>
      <c r="E108" s="65" t="s">
        <v>325</v>
      </c>
      <c r="F108" s="66"/>
      <c r="G108" s="67" t="s">
        <v>87</v>
      </c>
      <c r="H108" s="54">
        <v>9</v>
      </c>
      <c r="I108" s="54">
        <v>6</v>
      </c>
      <c r="J108" s="55">
        <v>14314.5</v>
      </c>
      <c r="K108" s="55">
        <v>12490.5</v>
      </c>
      <c r="L108" s="55">
        <v>12490.5</v>
      </c>
      <c r="M108" s="54">
        <v>220</v>
      </c>
      <c r="N108" s="56">
        <f>'Приложение 2'!E111</f>
        <v>5381896.7199999997</v>
      </c>
      <c r="O108" s="297">
        <v>0</v>
      </c>
      <c r="P108" s="297">
        <v>0</v>
      </c>
      <c r="Q108" s="297">
        <v>0</v>
      </c>
      <c r="R108" s="297">
        <f t="shared" si="3"/>
        <v>5381896.7199999997</v>
      </c>
      <c r="S108" s="319">
        <f t="shared" si="4"/>
        <v>430.87920579640524</v>
      </c>
      <c r="T108" s="297">
        <v>4180</v>
      </c>
      <c r="U108" s="46" t="s">
        <v>225</v>
      </c>
    </row>
    <row r="109" spans="1:21" ht="9.75" hidden="1" customHeight="1">
      <c r="A109" s="304">
        <v>94</v>
      </c>
      <c r="B109" s="62" t="s">
        <v>324</v>
      </c>
      <c r="C109" s="59" t="s">
        <v>997</v>
      </c>
      <c r="D109" s="59"/>
      <c r="E109" s="65" t="s">
        <v>296</v>
      </c>
      <c r="F109" s="66"/>
      <c r="G109" s="67" t="s">
        <v>89</v>
      </c>
      <c r="H109" s="54">
        <v>5</v>
      </c>
      <c r="I109" s="54">
        <v>10</v>
      </c>
      <c r="J109" s="55">
        <v>7840.1</v>
      </c>
      <c r="K109" s="55">
        <v>7215.1</v>
      </c>
      <c r="L109" s="55">
        <v>7215.1</v>
      </c>
      <c r="M109" s="54">
        <v>72</v>
      </c>
      <c r="N109" s="56">
        <f>'Приложение 2'!E112</f>
        <v>5868278.0899999999</v>
      </c>
      <c r="O109" s="297">
        <v>0</v>
      </c>
      <c r="P109" s="297">
        <v>0</v>
      </c>
      <c r="Q109" s="297">
        <v>0</v>
      </c>
      <c r="R109" s="297">
        <f t="shared" si="3"/>
        <v>5868278.0899999999</v>
      </c>
      <c r="S109" s="319">
        <f t="shared" si="4"/>
        <v>813.33288381311411</v>
      </c>
      <c r="T109" s="297">
        <v>4180</v>
      </c>
      <c r="U109" s="46" t="s">
        <v>225</v>
      </c>
    </row>
    <row r="110" spans="1:21" ht="9.75" hidden="1" customHeight="1">
      <c r="A110" s="304">
        <v>95</v>
      </c>
      <c r="B110" s="62" t="s">
        <v>6</v>
      </c>
      <c r="C110" s="59" t="s">
        <v>997</v>
      </c>
      <c r="D110" s="59"/>
      <c r="E110" s="65" t="s">
        <v>296</v>
      </c>
      <c r="F110" s="66"/>
      <c r="G110" s="67" t="s">
        <v>89</v>
      </c>
      <c r="H110" s="54">
        <v>5</v>
      </c>
      <c r="I110" s="54">
        <v>6</v>
      </c>
      <c r="J110" s="55">
        <v>4659.8</v>
      </c>
      <c r="K110" s="55">
        <v>4284.8</v>
      </c>
      <c r="L110" s="55">
        <v>4284.8</v>
      </c>
      <c r="M110" s="54">
        <v>92</v>
      </c>
      <c r="N110" s="56">
        <f>'Приложение 2'!E113</f>
        <v>3342271.24</v>
      </c>
      <c r="O110" s="297">
        <v>0</v>
      </c>
      <c r="P110" s="297">
        <v>0</v>
      </c>
      <c r="Q110" s="297">
        <v>0</v>
      </c>
      <c r="R110" s="297">
        <f t="shared" si="3"/>
        <v>3342271.24</v>
      </c>
      <c r="S110" s="319">
        <f t="shared" si="4"/>
        <v>780.02969566840932</v>
      </c>
      <c r="T110" s="297">
        <v>4180</v>
      </c>
      <c r="U110" s="46" t="s">
        <v>225</v>
      </c>
    </row>
    <row r="111" spans="1:21" ht="9.75" hidden="1" customHeight="1">
      <c r="A111" s="304">
        <v>96</v>
      </c>
      <c r="B111" s="62" t="s">
        <v>411</v>
      </c>
      <c r="C111" s="59" t="s">
        <v>998</v>
      </c>
      <c r="D111" s="59"/>
      <c r="E111" s="65" t="s">
        <v>88</v>
      </c>
      <c r="F111" s="66"/>
      <c r="G111" s="67" t="s">
        <v>87</v>
      </c>
      <c r="H111" s="54">
        <v>3</v>
      </c>
      <c r="I111" s="54">
        <v>2</v>
      </c>
      <c r="J111" s="55">
        <v>1136</v>
      </c>
      <c r="K111" s="55">
        <v>760</v>
      </c>
      <c r="L111" s="55">
        <v>760</v>
      </c>
      <c r="M111" s="54">
        <v>21</v>
      </c>
      <c r="N111" s="56">
        <f>'Приложение 2'!E114</f>
        <v>2680912.9900000002</v>
      </c>
      <c r="O111" s="297">
        <v>0</v>
      </c>
      <c r="P111" s="297">
        <v>0</v>
      </c>
      <c r="Q111" s="297">
        <v>0</v>
      </c>
      <c r="R111" s="297">
        <f t="shared" si="3"/>
        <v>2680912.9900000002</v>
      </c>
      <c r="S111" s="319">
        <f t="shared" si="4"/>
        <v>3527.5170921052636</v>
      </c>
      <c r="T111" s="297">
        <v>4503.95</v>
      </c>
      <c r="U111" s="46" t="s">
        <v>225</v>
      </c>
    </row>
    <row r="112" spans="1:21" ht="9" hidden="1" customHeight="1">
      <c r="A112" s="304">
        <v>97</v>
      </c>
      <c r="B112" s="285" t="s">
        <v>191</v>
      </c>
      <c r="C112" s="306" t="s">
        <v>998</v>
      </c>
      <c r="D112" s="306"/>
      <c r="E112" s="59">
        <v>1947</v>
      </c>
      <c r="F112" s="54"/>
      <c r="G112" s="60" t="s">
        <v>205</v>
      </c>
      <c r="H112" s="54">
        <v>2</v>
      </c>
      <c r="I112" s="54">
        <v>2</v>
      </c>
      <c r="J112" s="55">
        <v>536.70000000000005</v>
      </c>
      <c r="K112" s="55">
        <v>471.7</v>
      </c>
      <c r="L112" s="55">
        <v>471.7</v>
      </c>
      <c r="M112" s="54">
        <v>23</v>
      </c>
      <c r="N112" s="56">
        <f>'Приложение 2'!E115</f>
        <v>1234829.32</v>
      </c>
      <c r="O112" s="297">
        <v>0</v>
      </c>
      <c r="P112" s="297">
        <v>0</v>
      </c>
      <c r="Q112" s="297">
        <v>0</v>
      </c>
      <c r="R112" s="297">
        <f t="shared" si="3"/>
        <v>1234829.32</v>
      </c>
      <c r="S112" s="319">
        <f t="shared" si="4"/>
        <v>2617.8276870892519</v>
      </c>
      <c r="T112" s="297">
        <v>4503.95</v>
      </c>
      <c r="U112" s="46" t="s">
        <v>225</v>
      </c>
    </row>
    <row r="113" spans="1:21" ht="9" hidden="1" customHeight="1">
      <c r="A113" s="304">
        <v>98</v>
      </c>
      <c r="B113" s="285" t="s">
        <v>192</v>
      </c>
      <c r="C113" s="306" t="s">
        <v>998</v>
      </c>
      <c r="D113" s="306"/>
      <c r="E113" s="59">
        <v>1934</v>
      </c>
      <c r="F113" s="54"/>
      <c r="G113" s="60" t="s">
        <v>206</v>
      </c>
      <c r="H113" s="54">
        <v>3</v>
      </c>
      <c r="I113" s="54">
        <v>4</v>
      </c>
      <c r="J113" s="55">
        <v>1445.6</v>
      </c>
      <c r="K113" s="55">
        <v>1260.5999999999999</v>
      </c>
      <c r="L113" s="55">
        <v>1248.72</v>
      </c>
      <c r="M113" s="54">
        <v>73</v>
      </c>
      <c r="N113" s="56">
        <f>'Приложение 2'!E116</f>
        <v>3538919.29</v>
      </c>
      <c r="O113" s="297">
        <v>0</v>
      </c>
      <c r="P113" s="297">
        <v>0</v>
      </c>
      <c r="Q113" s="297">
        <v>0</v>
      </c>
      <c r="R113" s="297">
        <f t="shared" si="3"/>
        <v>3538919.29</v>
      </c>
      <c r="S113" s="319">
        <f t="shared" si="4"/>
        <v>2807.3292797080758</v>
      </c>
      <c r="T113" s="297">
        <v>4503.95</v>
      </c>
      <c r="U113" s="46" t="s">
        <v>225</v>
      </c>
    </row>
    <row r="114" spans="1:21" ht="9" hidden="1" customHeight="1">
      <c r="A114" s="304">
        <v>99</v>
      </c>
      <c r="B114" s="68" t="s">
        <v>193</v>
      </c>
      <c r="C114" s="284" t="s">
        <v>998</v>
      </c>
      <c r="D114" s="284"/>
      <c r="E114" s="59">
        <v>1971</v>
      </c>
      <c r="F114" s="54"/>
      <c r="G114" s="60" t="s">
        <v>87</v>
      </c>
      <c r="H114" s="54">
        <v>5</v>
      </c>
      <c r="I114" s="54">
        <v>2</v>
      </c>
      <c r="J114" s="55">
        <v>2158.29</v>
      </c>
      <c r="K114" s="55">
        <v>1998.9</v>
      </c>
      <c r="L114" s="55">
        <v>1181</v>
      </c>
      <c r="M114" s="54">
        <v>53</v>
      </c>
      <c r="N114" s="56">
        <f>'Приложение 2'!E117</f>
        <v>2009946.46</v>
      </c>
      <c r="O114" s="297">
        <v>0</v>
      </c>
      <c r="P114" s="297">
        <v>0</v>
      </c>
      <c r="Q114" s="297">
        <v>0</v>
      </c>
      <c r="R114" s="297">
        <f t="shared" si="3"/>
        <v>2009946.46</v>
      </c>
      <c r="S114" s="319">
        <f t="shared" si="4"/>
        <v>1005.5262694481964</v>
      </c>
      <c r="T114" s="297">
        <v>4503.95</v>
      </c>
      <c r="U114" s="46" t="s">
        <v>225</v>
      </c>
    </row>
    <row r="115" spans="1:21" ht="9" hidden="1" customHeight="1">
      <c r="A115" s="304">
        <v>100</v>
      </c>
      <c r="B115" s="68" t="s">
        <v>194</v>
      </c>
      <c r="C115" s="284" t="s">
        <v>997</v>
      </c>
      <c r="D115" s="284"/>
      <c r="E115" s="63">
        <v>1975</v>
      </c>
      <c r="F115" s="54"/>
      <c r="G115" s="64" t="s">
        <v>87</v>
      </c>
      <c r="H115" s="54">
        <v>5</v>
      </c>
      <c r="I115" s="54">
        <v>4</v>
      </c>
      <c r="J115" s="55">
        <v>3490.4</v>
      </c>
      <c r="K115" s="55">
        <v>3146.1</v>
      </c>
      <c r="L115" s="55">
        <v>3146.1</v>
      </c>
      <c r="M115" s="54">
        <v>137</v>
      </c>
      <c r="N115" s="56">
        <f>'Приложение 2'!E118</f>
        <v>2305946.58</v>
      </c>
      <c r="O115" s="297">
        <v>0</v>
      </c>
      <c r="P115" s="297">
        <v>0</v>
      </c>
      <c r="Q115" s="297">
        <v>0</v>
      </c>
      <c r="R115" s="297">
        <f t="shared" si="3"/>
        <v>2305946.58</v>
      </c>
      <c r="S115" s="319">
        <f t="shared" si="4"/>
        <v>732.95400019071235</v>
      </c>
      <c r="T115" s="297">
        <v>4180</v>
      </c>
      <c r="U115" s="46" t="s">
        <v>225</v>
      </c>
    </row>
    <row r="116" spans="1:21" ht="9" hidden="1" customHeight="1">
      <c r="A116" s="304">
        <v>101</v>
      </c>
      <c r="B116" s="68" t="s">
        <v>195</v>
      </c>
      <c r="C116" s="284" t="s">
        <v>997</v>
      </c>
      <c r="D116" s="284"/>
      <c r="E116" s="63">
        <v>1970</v>
      </c>
      <c r="F116" s="54"/>
      <c r="G116" s="64" t="s">
        <v>87</v>
      </c>
      <c r="H116" s="54">
        <v>5</v>
      </c>
      <c r="I116" s="54">
        <v>2</v>
      </c>
      <c r="J116" s="55">
        <v>1763.7</v>
      </c>
      <c r="K116" s="55">
        <v>1640.7</v>
      </c>
      <c r="L116" s="55">
        <v>1640.7</v>
      </c>
      <c r="M116" s="54">
        <v>80</v>
      </c>
      <c r="N116" s="56">
        <f>'Приложение 2'!E119</f>
        <v>1285936.6399999999</v>
      </c>
      <c r="O116" s="297">
        <v>0</v>
      </c>
      <c r="P116" s="297">
        <v>0</v>
      </c>
      <c r="Q116" s="297">
        <v>0</v>
      </c>
      <c r="R116" s="297">
        <f t="shared" si="3"/>
        <v>1285936.6399999999</v>
      </c>
      <c r="S116" s="319">
        <f t="shared" si="4"/>
        <v>783.77316998841945</v>
      </c>
      <c r="T116" s="297">
        <v>4180</v>
      </c>
      <c r="U116" s="46" t="s">
        <v>225</v>
      </c>
    </row>
    <row r="117" spans="1:21" ht="9" hidden="1" customHeight="1">
      <c r="A117" s="304">
        <v>102</v>
      </c>
      <c r="B117" s="68" t="s">
        <v>196</v>
      </c>
      <c r="C117" s="284" t="s">
        <v>998</v>
      </c>
      <c r="D117" s="284"/>
      <c r="E117" s="59">
        <v>1958</v>
      </c>
      <c r="F117" s="54"/>
      <c r="G117" s="60" t="s">
        <v>87</v>
      </c>
      <c r="H117" s="54">
        <v>2</v>
      </c>
      <c r="I117" s="54">
        <v>1</v>
      </c>
      <c r="J117" s="55">
        <v>338.4</v>
      </c>
      <c r="K117" s="55">
        <v>269.2</v>
      </c>
      <c r="L117" s="55">
        <v>229.8</v>
      </c>
      <c r="M117" s="54">
        <v>13</v>
      </c>
      <c r="N117" s="56">
        <f>'Приложение 2'!E120</f>
        <v>615919.81999999995</v>
      </c>
      <c r="O117" s="297">
        <v>0</v>
      </c>
      <c r="P117" s="297">
        <v>0</v>
      </c>
      <c r="Q117" s="297">
        <v>0</v>
      </c>
      <c r="R117" s="297">
        <f t="shared" si="3"/>
        <v>615919.81999999995</v>
      </c>
      <c r="S117" s="319">
        <f t="shared" si="4"/>
        <v>2287.9636701337295</v>
      </c>
      <c r="T117" s="297">
        <v>4503.95</v>
      </c>
      <c r="U117" s="46" t="s">
        <v>225</v>
      </c>
    </row>
    <row r="118" spans="1:21" ht="9" hidden="1" customHeight="1">
      <c r="A118" s="304">
        <v>103</v>
      </c>
      <c r="B118" s="68" t="s">
        <v>197</v>
      </c>
      <c r="C118" s="284" t="s">
        <v>998</v>
      </c>
      <c r="D118" s="284"/>
      <c r="E118" s="59">
        <v>1954</v>
      </c>
      <c r="F118" s="54"/>
      <c r="G118" s="60" t="s">
        <v>87</v>
      </c>
      <c r="H118" s="54">
        <v>2</v>
      </c>
      <c r="I118" s="54">
        <v>1</v>
      </c>
      <c r="J118" s="55">
        <v>294.39999999999998</v>
      </c>
      <c r="K118" s="55">
        <v>271.3</v>
      </c>
      <c r="L118" s="55">
        <v>271.3</v>
      </c>
      <c r="M118" s="54">
        <v>18</v>
      </c>
      <c r="N118" s="56">
        <f>'Приложение 2'!E121</f>
        <v>618007.39</v>
      </c>
      <c r="O118" s="297">
        <v>0</v>
      </c>
      <c r="P118" s="297">
        <v>0</v>
      </c>
      <c r="Q118" s="297">
        <v>0</v>
      </c>
      <c r="R118" s="297">
        <f t="shared" si="3"/>
        <v>618007.39</v>
      </c>
      <c r="S118" s="319">
        <f t="shared" si="4"/>
        <v>2277.9483597493549</v>
      </c>
      <c r="T118" s="297">
        <v>4503.95</v>
      </c>
      <c r="U118" s="46" t="s">
        <v>225</v>
      </c>
    </row>
    <row r="119" spans="1:21" ht="9" hidden="1" customHeight="1">
      <c r="A119" s="304">
        <v>104</v>
      </c>
      <c r="B119" s="68" t="s">
        <v>198</v>
      </c>
      <c r="C119" s="284" t="s">
        <v>997</v>
      </c>
      <c r="D119" s="284"/>
      <c r="E119" s="63">
        <v>1973</v>
      </c>
      <c r="F119" s="54"/>
      <c r="G119" s="64" t="s">
        <v>87</v>
      </c>
      <c r="H119" s="54">
        <v>5</v>
      </c>
      <c r="I119" s="54">
        <v>4</v>
      </c>
      <c r="J119" s="55">
        <v>4031.7</v>
      </c>
      <c r="K119" s="55">
        <v>3687.7</v>
      </c>
      <c r="L119" s="55">
        <v>2588.6999999999998</v>
      </c>
      <c r="M119" s="54">
        <v>123</v>
      </c>
      <c r="N119" s="56">
        <f>'Приложение 2'!E122</f>
        <v>2690517</v>
      </c>
      <c r="O119" s="297">
        <v>0</v>
      </c>
      <c r="P119" s="297">
        <v>0</v>
      </c>
      <c r="Q119" s="297">
        <v>0</v>
      </c>
      <c r="R119" s="297">
        <f t="shared" si="3"/>
        <v>2690517</v>
      </c>
      <c r="S119" s="319">
        <f t="shared" si="4"/>
        <v>729.59215771347999</v>
      </c>
      <c r="T119" s="297">
        <v>4180</v>
      </c>
      <c r="U119" s="46" t="s">
        <v>225</v>
      </c>
    </row>
    <row r="120" spans="1:21" ht="9" hidden="1" customHeight="1">
      <c r="A120" s="304">
        <v>105</v>
      </c>
      <c r="B120" s="68" t="s">
        <v>199</v>
      </c>
      <c r="C120" s="284" t="s">
        <v>998</v>
      </c>
      <c r="D120" s="284"/>
      <c r="E120" s="59">
        <v>1900</v>
      </c>
      <c r="F120" s="54"/>
      <c r="G120" s="60" t="s">
        <v>87</v>
      </c>
      <c r="H120" s="54">
        <v>2</v>
      </c>
      <c r="I120" s="54">
        <v>1</v>
      </c>
      <c r="J120" s="55">
        <v>421.5</v>
      </c>
      <c r="K120" s="55">
        <v>373.7</v>
      </c>
      <c r="L120" s="55">
        <v>311.5</v>
      </c>
      <c r="M120" s="54">
        <v>16</v>
      </c>
      <c r="N120" s="56">
        <f>'Приложение 2'!E123</f>
        <v>1163314.4099999999</v>
      </c>
      <c r="O120" s="297">
        <v>0</v>
      </c>
      <c r="P120" s="297">
        <v>0</v>
      </c>
      <c r="Q120" s="297">
        <v>0</v>
      </c>
      <c r="R120" s="297">
        <f t="shared" si="3"/>
        <v>1163314.4099999999</v>
      </c>
      <c r="S120" s="319">
        <f t="shared" si="4"/>
        <v>3112.9633663366335</v>
      </c>
      <c r="T120" s="297">
        <v>4503.95</v>
      </c>
      <c r="U120" s="46" t="s">
        <v>225</v>
      </c>
    </row>
    <row r="121" spans="1:21" ht="9" hidden="1" customHeight="1">
      <c r="A121" s="304">
        <v>106</v>
      </c>
      <c r="B121" s="68" t="s">
        <v>200</v>
      </c>
      <c r="C121" s="284" t="s">
        <v>998</v>
      </c>
      <c r="D121" s="284"/>
      <c r="E121" s="59">
        <v>1949</v>
      </c>
      <c r="F121" s="54"/>
      <c r="G121" s="60" t="s">
        <v>87</v>
      </c>
      <c r="H121" s="54">
        <v>3</v>
      </c>
      <c r="I121" s="54">
        <v>2</v>
      </c>
      <c r="J121" s="55">
        <v>1067.8</v>
      </c>
      <c r="K121" s="55">
        <v>991</v>
      </c>
      <c r="L121" s="55">
        <v>991</v>
      </c>
      <c r="M121" s="54">
        <v>48</v>
      </c>
      <c r="N121" s="56">
        <f>'Приложение 2'!E124</f>
        <v>2886508.54</v>
      </c>
      <c r="O121" s="297">
        <v>0</v>
      </c>
      <c r="P121" s="297">
        <v>0</v>
      </c>
      <c r="Q121" s="297">
        <v>0</v>
      </c>
      <c r="R121" s="297">
        <f t="shared" si="3"/>
        <v>2886508.54</v>
      </c>
      <c r="S121" s="319">
        <f t="shared" si="4"/>
        <v>2912.7230474268417</v>
      </c>
      <c r="T121" s="297">
        <v>4503.95</v>
      </c>
      <c r="U121" s="46" t="s">
        <v>225</v>
      </c>
    </row>
    <row r="122" spans="1:21" ht="10.5" hidden="1" customHeight="1">
      <c r="A122" s="304">
        <v>107</v>
      </c>
      <c r="B122" s="68" t="s">
        <v>203</v>
      </c>
      <c r="C122" s="285" t="s">
        <v>997</v>
      </c>
      <c r="D122" s="285"/>
      <c r="E122" s="63">
        <v>1966</v>
      </c>
      <c r="F122" s="54"/>
      <c r="G122" s="64" t="s">
        <v>87</v>
      </c>
      <c r="H122" s="54">
        <v>6</v>
      </c>
      <c r="I122" s="54">
        <v>6</v>
      </c>
      <c r="J122" s="55">
        <v>5866</v>
      </c>
      <c r="K122" s="55">
        <v>5257</v>
      </c>
      <c r="L122" s="55">
        <v>5257</v>
      </c>
      <c r="M122" s="54">
        <v>241</v>
      </c>
      <c r="N122" s="56">
        <f>'Приложение 2'!E125</f>
        <v>4194560.96</v>
      </c>
      <c r="O122" s="297">
        <v>0</v>
      </c>
      <c r="P122" s="297">
        <v>0</v>
      </c>
      <c r="Q122" s="297">
        <v>0</v>
      </c>
      <c r="R122" s="297">
        <f t="shared" si="3"/>
        <v>4194560.96</v>
      </c>
      <c r="S122" s="319">
        <f t="shared" si="4"/>
        <v>797.90012554688985</v>
      </c>
      <c r="T122" s="297">
        <v>4180</v>
      </c>
      <c r="U122" s="46" t="s">
        <v>225</v>
      </c>
    </row>
    <row r="123" spans="1:21" ht="10.5" hidden="1" customHeight="1">
      <c r="A123" s="304">
        <v>108</v>
      </c>
      <c r="B123" s="68" t="s">
        <v>1085</v>
      </c>
      <c r="C123" s="285"/>
      <c r="D123" s="285"/>
      <c r="E123" s="316">
        <v>1983</v>
      </c>
      <c r="F123" s="54"/>
      <c r="G123" s="316" t="s">
        <v>89</v>
      </c>
      <c r="H123" s="54">
        <v>5</v>
      </c>
      <c r="I123" s="54">
        <v>6</v>
      </c>
      <c r="J123" s="55">
        <v>4713.8</v>
      </c>
      <c r="K123" s="55">
        <v>4341.8</v>
      </c>
      <c r="L123" s="55">
        <v>4341.8</v>
      </c>
      <c r="M123" s="54">
        <v>199</v>
      </c>
      <c r="N123" s="56">
        <f>'Приложение 2'!E126</f>
        <v>390000</v>
      </c>
      <c r="O123" s="297">
        <v>0</v>
      </c>
      <c r="P123" s="297">
        <v>0</v>
      </c>
      <c r="Q123" s="297">
        <v>0</v>
      </c>
      <c r="R123" s="297">
        <f t="shared" ref="R123:R128" si="5">N123</f>
        <v>390000</v>
      </c>
      <c r="S123" s="319">
        <f t="shared" si="4"/>
        <v>89.824496752498959</v>
      </c>
      <c r="T123" s="297">
        <v>2194.5</v>
      </c>
      <c r="U123" s="46" t="s">
        <v>225</v>
      </c>
    </row>
    <row r="124" spans="1:21" ht="10.5" hidden="1" customHeight="1">
      <c r="A124" s="304">
        <v>109</v>
      </c>
      <c r="B124" s="68" t="s">
        <v>1086</v>
      </c>
      <c r="C124" s="285"/>
      <c r="D124" s="285"/>
      <c r="E124" s="316">
        <v>1984</v>
      </c>
      <c r="F124" s="54"/>
      <c r="G124" s="316" t="s">
        <v>89</v>
      </c>
      <c r="H124" s="54">
        <v>5</v>
      </c>
      <c r="I124" s="54">
        <v>8</v>
      </c>
      <c r="J124" s="55">
        <v>6493</v>
      </c>
      <c r="K124" s="55">
        <v>5832.6</v>
      </c>
      <c r="L124" s="55">
        <v>5832.6</v>
      </c>
      <c r="M124" s="54">
        <v>276</v>
      </c>
      <c r="N124" s="56">
        <f>'Приложение 2'!E127</f>
        <v>961041.56</v>
      </c>
      <c r="O124" s="297">
        <v>0</v>
      </c>
      <c r="P124" s="297">
        <v>0</v>
      </c>
      <c r="Q124" s="297">
        <v>0</v>
      </c>
      <c r="R124" s="297">
        <f t="shared" si="5"/>
        <v>961041.56</v>
      </c>
      <c r="S124" s="319">
        <f t="shared" si="4"/>
        <v>164.77069574460791</v>
      </c>
      <c r="T124" s="297">
        <v>4984.6499999999996</v>
      </c>
      <c r="U124" s="46" t="s">
        <v>225</v>
      </c>
    </row>
    <row r="125" spans="1:21" ht="10.5" hidden="1" customHeight="1">
      <c r="A125" s="304">
        <v>110</v>
      </c>
      <c r="B125" s="68" t="s">
        <v>1140</v>
      </c>
      <c r="C125" s="285"/>
      <c r="D125" s="285"/>
      <c r="E125" s="316">
        <v>1981</v>
      </c>
      <c r="F125" s="54"/>
      <c r="G125" s="316" t="s">
        <v>89</v>
      </c>
      <c r="H125" s="54">
        <v>5</v>
      </c>
      <c r="I125" s="54">
        <v>4</v>
      </c>
      <c r="J125" s="55">
        <v>3698.51</v>
      </c>
      <c r="K125" s="55">
        <f>L125+I125</f>
        <v>3319.11</v>
      </c>
      <c r="L125" s="55">
        <v>3315.11</v>
      </c>
      <c r="M125" s="54">
        <v>151</v>
      </c>
      <c r="N125" s="56">
        <f>'Приложение 2'!E128</f>
        <v>379884</v>
      </c>
      <c r="O125" s="297">
        <v>0</v>
      </c>
      <c r="P125" s="297">
        <v>0</v>
      </c>
      <c r="Q125" s="297">
        <v>0</v>
      </c>
      <c r="R125" s="297">
        <f t="shared" si="5"/>
        <v>379884</v>
      </c>
      <c r="S125" s="319">
        <f t="shared" si="4"/>
        <v>114.45357339768793</v>
      </c>
      <c r="T125" s="297">
        <v>4984.6499999999996</v>
      </c>
      <c r="U125" s="46" t="s">
        <v>225</v>
      </c>
    </row>
    <row r="126" spans="1:21" ht="10.5" hidden="1" customHeight="1">
      <c r="A126" s="304">
        <v>111</v>
      </c>
      <c r="B126" s="68" t="s">
        <v>1096</v>
      </c>
      <c r="C126" s="285"/>
      <c r="D126" s="285"/>
      <c r="E126" s="316">
        <v>1997</v>
      </c>
      <c r="F126" s="54"/>
      <c r="G126" s="316" t="s">
        <v>87</v>
      </c>
      <c r="H126" s="54">
        <v>9</v>
      </c>
      <c r="I126" s="54">
        <v>2</v>
      </c>
      <c r="J126" s="55">
        <v>4034.1</v>
      </c>
      <c r="K126" s="55">
        <v>3394.1</v>
      </c>
      <c r="L126" s="55">
        <v>3394.1</v>
      </c>
      <c r="M126" s="54">
        <v>158</v>
      </c>
      <c r="N126" s="56">
        <f>'Приложение 2'!E129</f>
        <v>570000</v>
      </c>
      <c r="O126" s="297">
        <v>0</v>
      </c>
      <c r="P126" s="297">
        <v>0</v>
      </c>
      <c r="Q126" s="297">
        <v>0</v>
      </c>
      <c r="R126" s="297">
        <f t="shared" si="5"/>
        <v>570000</v>
      </c>
      <c r="S126" s="319">
        <f t="shared" si="4"/>
        <v>167.93848148257271</v>
      </c>
      <c r="T126" s="297">
        <v>3929.2</v>
      </c>
      <c r="U126" s="46" t="s">
        <v>225</v>
      </c>
    </row>
    <row r="127" spans="1:21" ht="10.5" hidden="1" customHeight="1">
      <c r="A127" s="304">
        <v>112</v>
      </c>
      <c r="B127" s="68" t="s">
        <v>1097</v>
      </c>
      <c r="C127" s="285"/>
      <c r="D127" s="285"/>
      <c r="E127" s="316">
        <v>1982</v>
      </c>
      <c r="F127" s="54"/>
      <c r="G127" s="316" t="s">
        <v>89</v>
      </c>
      <c r="H127" s="54">
        <v>5</v>
      </c>
      <c r="I127" s="54">
        <v>8</v>
      </c>
      <c r="J127" s="55">
        <v>6305.5</v>
      </c>
      <c r="K127" s="55">
        <v>5793.5</v>
      </c>
      <c r="L127" s="55">
        <v>5793.5</v>
      </c>
      <c r="M127" s="54">
        <v>278</v>
      </c>
      <c r="N127" s="56">
        <f>'Приложение 2'!E130</f>
        <v>979618</v>
      </c>
      <c r="O127" s="297">
        <v>0</v>
      </c>
      <c r="P127" s="297">
        <v>0</v>
      </c>
      <c r="Q127" s="297">
        <v>0</v>
      </c>
      <c r="R127" s="297">
        <f t="shared" si="5"/>
        <v>979618</v>
      </c>
      <c r="S127" s="319">
        <f t="shared" si="4"/>
        <v>169.08915163545353</v>
      </c>
      <c r="T127" s="297">
        <v>4984.6499999999996</v>
      </c>
      <c r="U127" s="46" t="s">
        <v>225</v>
      </c>
    </row>
    <row r="128" spans="1:21" ht="10.5" hidden="1" customHeight="1">
      <c r="A128" s="304">
        <v>113</v>
      </c>
      <c r="B128" s="68" t="s">
        <v>1098</v>
      </c>
      <c r="C128" s="285"/>
      <c r="D128" s="285"/>
      <c r="E128" s="316">
        <v>1986</v>
      </c>
      <c r="F128" s="54"/>
      <c r="G128" s="316" t="s">
        <v>89</v>
      </c>
      <c r="H128" s="54">
        <v>5</v>
      </c>
      <c r="I128" s="54">
        <v>9</v>
      </c>
      <c r="J128" s="55">
        <v>7688.2</v>
      </c>
      <c r="K128" s="55">
        <v>6798.2</v>
      </c>
      <c r="L128" s="55">
        <v>6798.2</v>
      </c>
      <c r="M128" s="54">
        <v>340</v>
      </c>
      <c r="N128" s="56">
        <f>'Приложение 2'!E131</f>
        <v>854947</v>
      </c>
      <c r="O128" s="297">
        <v>0</v>
      </c>
      <c r="P128" s="297">
        <v>0</v>
      </c>
      <c r="Q128" s="297">
        <v>0</v>
      </c>
      <c r="R128" s="297">
        <f t="shared" si="5"/>
        <v>854947</v>
      </c>
      <c r="S128" s="319">
        <f t="shared" si="4"/>
        <v>125.76078962078198</v>
      </c>
      <c r="T128" s="297">
        <v>7502.06</v>
      </c>
      <c r="U128" s="46" t="s">
        <v>225</v>
      </c>
    </row>
    <row r="129" spans="1:21" ht="10.5" hidden="1" customHeight="1">
      <c r="A129" s="304">
        <v>114</v>
      </c>
      <c r="B129" s="68" t="s">
        <v>1132</v>
      </c>
      <c r="C129" s="285"/>
      <c r="D129" s="285"/>
      <c r="E129" s="316">
        <v>1996</v>
      </c>
      <c r="F129" s="54"/>
      <c r="G129" s="316" t="s">
        <v>89</v>
      </c>
      <c r="H129" s="54">
        <v>1</v>
      </c>
      <c r="I129" s="54">
        <v>17</v>
      </c>
      <c r="J129" s="55">
        <v>6002.6</v>
      </c>
      <c r="K129" s="55">
        <v>4802.6000000000004</v>
      </c>
      <c r="L129" s="55">
        <v>4531.1000000000004</v>
      </c>
      <c r="M129" s="54">
        <v>175</v>
      </c>
      <c r="N129" s="297">
        <f>'Приложение 2'!E132</f>
        <v>357000</v>
      </c>
      <c r="O129" s="297">
        <v>0</v>
      </c>
      <c r="P129" s="297">
        <v>0</v>
      </c>
      <c r="Q129" s="297">
        <v>0</v>
      </c>
      <c r="R129" s="297">
        <f t="shared" ref="R129:R130" si="6">N129</f>
        <v>357000</v>
      </c>
      <c r="S129" s="319">
        <f t="shared" si="4"/>
        <v>74.3347353516845</v>
      </c>
      <c r="T129" s="297">
        <v>2194.5</v>
      </c>
      <c r="U129" s="46" t="s">
        <v>225</v>
      </c>
    </row>
    <row r="130" spans="1:21" ht="10.5" hidden="1" customHeight="1">
      <c r="A130" s="304">
        <v>115</v>
      </c>
      <c r="B130" s="285" t="s">
        <v>1136</v>
      </c>
      <c r="C130" s="295"/>
      <c r="D130" s="295"/>
      <c r="E130" s="317">
        <v>1977</v>
      </c>
      <c r="F130" s="283"/>
      <c r="G130" s="316" t="s">
        <v>89</v>
      </c>
      <c r="H130" s="54">
        <v>5</v>
      </c>
      <c r="I130" s="54">
        <v>4</v>
      </c>
      <c r="J130" s="55">
        <v>3558.4</v>
      </c>
      <c r="K130" s="55">
        <v>3283.4</v>
      </c>
      <c r="L130" s="55">
        <v>3193.7</v>
      </c>
      <c r="M130" s="54">
        <v>147</v>
      </c>
      <c r="N130" s="297">
        <f>'Приложение 2'!E133</f>
        <v>278275.90000000002</v>
      </c>
      <c r="O130" s="297">
        <v>0</v>
      </c>
      <c r="P130" s="297">
        <v>0</v>
      </c>
      <c r="Q130" s="297">
        <v>0</v>
      </c>
      <c r="R130" s="297">
        <f t="shared" si="6"/>
        <v>278275.90000000002</v>
      </c>
      <c r="S130" s="319">
        <f t="shared" si="4"/>
        <v>84.752360358165319</v>
      </c>
      <c r="T130" s="297">
        <v>4984.6499999999996</v>
      </c>
      <c r="U130" s="46" t="s">
        <v>225</v>
      </c>
    </row>
    <row r="131" spans="1:21" ht="22.5" hidden="1" customHeight="1">
      <c r="A131" s="522" t="s">
        <v>107</v>
      </c>
      <c r="B131" s="523"/>
      <c r="C131" s="295"/>
      <c r="D131" s="295"/>
      <c r="E131" s="302" t="s">
        <v>387</v>
      </c>
      <c r="F131" s="302" t="s">
        <v>387</v>
      </c>
      <c r="G131" s="302" t="s">
        <v>387</v>
      </c>
      <c r="H131" s="302" t="s">
        <v>387</v>
      </c>
      <c r="I131" s="302" t="s">
        <v>387</v>
      </c>
      <c r="J131" s="139">
        <f>SUM(J16:J130)</f>
        <v>402521.65</v>
      </c>
      <c r="K131" s="139">
        <f t="shared" ref="K131:R131" si="7">SUM(K16:K130)</f>
        <v>358316.06000000006</v>
      </c>
      <c r="L131" s="139">
        <f t="shared" si="7"/>
        <v>338060.25999999989</v>
      </c>
      <c r="M131" s="281">
        <f t="shared" si="7"/>
        <v>15044</v>
      </c>
      <c r="N131" s="139">
        <f>SUM(N16:N130)</f>
        <v>318504274.63999999</v>
      </c>
      <c r="O131" s="139">
        <f t="shared" si="7"/>
        <v>0</v>
      </c>
      <c r="P131" s="139">
        <f t="shared" si="7"/>
        <v>0</v>
      </c>
      <c r="Q131" s="139">
        <f t="shared" si="7"/>
        <v>0</v>
      </c>
      <c r="R131" s="139">
        <f t="shared" si="7"/>
        <v>318504274.63999999</v>
      </c>
      <c r="S131" s="74">
        <f>N131/K131</f>
        <v>888.89198725839958</v>
      </c>
      <c r="T131" s="70"/>
      <c r="U131" s="89"/>
    </row>
    <row r="132" spans="1:21" s="71" customFormat="1" ht="9" hidden="1" customHeight="1">
      <c r="A132" s="519" t="s">
        <v>219</v>
      </c>
      <c r="B132" s="520"/>
      <c r="C132" s="520"/>
      <c r="D132" s="520"/>
      <c r="E132" s="520"/>
      <c r="F132" s="520"/>
      <c r="G132" s="520"/>
      <c r="H132" s="520"/>
      <c r="I132" s="520"/>
      <c r="J132" s="520"/>
      <c r="K132" s="520"/>
      <c r="L132" s="520"/>
      <c r="M132" s="520"/>
      <c r="N132" s="520"/>
      <c r="O132" s="520"/>
      <c r="P132" s="520"/>
      <c r="Q132" s="520"/>
      <c r="R132" s="520"/>
      <c r="S132" s="520"/>
      <c r="T132" s="520"/>
      <c r="U132" s="521"/>
    </row>
    <row r="133" spans="1:21" s="71" customFormat="1" ht="9" hidden="1" customHeight="1">
      <c r="A133" s="304">
        <v>116</v>
      </c>
      <c r="B133" s="68" t="s">
        <v>221</v>
      </c>
      <c r="C133" s="284" t="s">
        <v>1000</v>
      </c>
      <c r="D133" s="284"/>
      <c r="E133" s="59">
        <v>1961</v>
      </c>
      <c r="F133" s="62"/>
      <c r="G133" s="54" t="s">
        <v>87</v>
      </c>
      <c r="H133" s="54">
        <v>3</v>
      </c>
      <c r="I133" s="54" t="s">
        <v>72</v>
      </c>
      <c r="J133" s="55">
        <v>1039.4000000000001</v>
      </c>
      <c r="K133" s="55">
        <v>965.6</v>
      </c>
      <c r="L133" s="55">
        <v>925.3</v>
      </c>
      <c r="M133" s="54">
        <v>35</v>
      </c>
      <c r="N133" s="72">
        <f>'Приложение 2'!E136</f>
        <v>2116645.38</v>
      </c>
      <c r="O133" s="297">
        <v>0</v>
      </c>
      <c r="P133" s="297">
        <v>0</v>
      </c>
      <c r="Q133" s="297">
        <v>0</v>
      </c>
      <c r="R133" s="297">
        <f t="shared" ref="R133:R140" si="8">N133</f>
        <v>2116645.38</v>
      </c>
      <c r="S133" s="297">
        <f>N133/K133</f>
        <v>2192.0519676884837</v>
      </c>
      <c r="T133" s="337">
        <f>4984.65+322.91</f>
        <v>5307.5599999999995</v>
      </c>
      <c r="U133" s="46" t="s">
        <v>225</v>
      </c>
    </row>
    <row r="134" spans="1:21" s="71" customFormat="1" ht="9" hidden="1" customHeight="1">
      <c r="A134" s="304">
        <v>117</v>
      </c>
      <c r="B134" s="68" t="s">
        <v>1042</v>
      </c>
      <c r="C134" s="284" t="s">
        <v>998</v>
      </c>
      <c r="D134" s="284"/>
      <c r="E134" s="59">
        <v>1966</v>
      </c>
      <c r="F134" s="62"/>
      <c r="G134" s="54" t="s">
        <v>87</v>
      </c>
      <c r="H134" s="54">
        <v>4</v>
      </c>
      <c r="I134" s="54">
        <v>4</v>
      </c>
      <c r="J134" s="55">
        <v>2760.6</v>
      </c>
      <c r="K134" s="55">
        <v>2564.1999999999998</v>
      </c>
      <c r="L134" s="55">
        <v>2300.5</v>
      </c>
      <c r="M134" s="54">
        <v>95</v>
      </c>
      <c r="N134" s="72">
        <f>'Приложение 2'!E137</f>
        <v>3992588.78</v>
      </c>
      <c r="O134" s="297">
        <v>0</v>
      </c>
      <c r="P134" s="297">
        <v>0</v>
      </c>
      <c r="Q134" s="297">
        <v>0</v>
      </c>
      <c r="R134" s="297">
        <f t="shared" si="8"/>
        <v>3992588.78</v>
      </c>
      <c r="S134" s="297">
        <f t="shared" ref="S134:S142" si="9">N134/K134</f>
        <v>1557.0504562826613</v>
      </c>
      <c r="T134" s="297">
        <v>4503.95</v>
      </c>
      <c r="U134" s="46" t="s">
        <v>225</v>
      </c>
    </row>
    <row r="135" spans="1:21" s="71" customFormat="1" ht="9" hidden="1" customHeight="1">
      <c r="A135" s="304">
        <v>118</v>
      </c>
      <c r="B135" s="68" t="s">
        <v>364</v>
      </c>
      <c r="C135" s="284" t="s">
        <v>998</v>
      </c>
      <c r="D135" s="284"/>
      <c r="E135" s="59">
        <v>1953</v>
      </c>
      <c r="F135" s="62"/>
      <c r="G135" s="54" t="s">
        <v>87</v>
      </c>
      <c r="H135" s="54">
        <v>4</v>
      </c>
      <c r="I135" s="54">
        <v>4</v>
      </c>
      <c r="J135" s="55">
        <v>3958.4</v>
      </c>
      <c r="K135" s="55">
        <v>3577.8</v>
      </c>
      <c r="L135" s="55">
        <v>2792.5</v>
      </c>
      <c r="M135" s="54">
        <v>113</v>
      </c>
      <c r="N135" s="72">
        <f>'Приложение 2'!E138</f>
        <v>4303950.1500000004</v>
      </c>
      <c r="O135" s="297">
        <v>0</v>
      </c>
      <c r="P135" s="297">
        <v>0</v>
      </c>
      <c r="Q135" s="297">
        <v>0</v>
      </c>
      <c r="R135" s="297">
        <f t="shared" si="8"/>
        <v>4303950.1500000004</v>
      </c>
      <c r="S135" s="297">
        <f t="shared" si="9"/>
        <v>1202.9599614288111</v>
      </c>
      <c r="T135" s="297">
        <v>4503.95</v>
      </c>
      <c r="U135" s="46" t="s">
        <v>225</v>
      </c>
    </row>
    <row r="136" spans="1:21" s="71" customFormat="1" ht="9" hidden="1" customHeight="1">
      <c r="A136" s="304">
        <v>119</v>
      </c>
      <c r="B136" s="68" t="s">
        <v>365</v>
      </c>
      <c r="C136" s="284" t="s">
        <v>998</v>
      </c>
      <c r="D136" s="284"/>
      <c r="E136" s="59">
        <v>1917</v>
      </c>
      <c r="F136" s="62"/>
      <c r="G136" s="54" t="s">
        <v>87</v>
      </c>
      <c r="H136" s="54">
        <v>1</v>
      </c>
      <c r="I136" s="54">
        <v>4</v>
      </c>
      <c r="J136" s="55">
        <v>362.7</v>
      </c>
      <c r="K136" s="55">
        <v>340.1</v>
      </c>
      <c r="L136" s="55">
        <v>174.5</v>
      </c>
      <c r="M136" s="54">
        <v>10</v>
      </c>
      <c r="N136" s="72">
        <f>'Приложение 2'!E139</f>
        <v>1110243.6499999999</v>
      </c>
      <c r="O136" s="297">
        <v>0</v>
      </c>
      <c r="P136" s="297">
        <v>0</v>
      </c>
      <c r="Q136" s="297">
        <v>0</v>
      </c>
      <c r="R136" s="297">
        <f t="shared" si="8"/>
        <v>1110243.6499999999</v>
      </c>
      <c r="S136" s="297">
        <f t="shared" si="9"/>
        <v>3264.4623640105847</v>
      </c>
      <c r="T136" s="297">
        <v>4503.95</v>
      </c>
      <c r="U136" s="46" t="s">
        <v>225</v>
      </c>
    </row>
    <row r="137" spans="1:21" s="71" customFormat="1" ht="9" hidden="1" customHeight="1">
      <c r="A137" s="304">
        <v>120</v>
      </c>
      <c r="B137" s="68" t="s">
        <v>222</v>
      </c>
      <c r="C137" s="284" t="s">
        <v>998</v>
      </c>
      <c r="D137" s="284"/>
      <c r="E137" s="59">
        <v>1961</v>
      </c>
      <c r="F137" s="62"/>
      <c r="G137" s="54" t="s">
        <v>87</v>
      </c>
      <c r="H137" s="54">
        <v>3</v>
      </c>
      <c r="I137" s="54">
        <v>3</v>
      </c>
      <c r="J137" s="55">
        <v>1630</v>
      </c>
      <c r="K137" s="55">
        <v>1519.1</v>
      </c>
      <c r="L137" s="55">
        <v>1400.7</v>
      </c>
      <c r="M137" s="54">
        <v>74</v>
      </c>
      <c r="N137" s="72">
        <f>'Приложение 2'!E140</f>
        <v>2935085.2</v>
      </c>
      <c r="O137" s="297">
        <v>0</v>
      </c>
      <c r="P137" s="297">
        <v>0</v>
      </c>
      <c r="Q137" s="297">
        <v>0</v>
      </c>
      <c r="R137" s="297">
        <f t="shared" si="8"/>
        <v>2935085.2</v>
      </c>
      <c r="S137" s="297">
        <f t="shared" si="9"/>
        <v>1932.1211243499442</v>
      </c>
      <c r="T137" s="297">
        <v>4503.95</v>
      </c>
      <c r="U137" s="46" t="s">
        <v>225</v>
      </c>
    </row>
    <row r="138" spans="1:21" s="71" customFormat="1" ht="9" hidden="1" customHeight="1">
      <c r="A138" s="304">
        <v>121</v>
      </c>
      <c r="B138" s="68" t="s">
        <v>1142</v>
      </c>
      <c r="C138" s="284" t="s">
        <v>998</v>
      </c>
      <c r="D138" s="284"/>
      <c r="E138" s="59">
        <v>1963</v>
      </c>
      <c r="F138" s="62"/>
      <c r="G138" s="54" t="s">
        <v>87</v>
      </c>
      <c r="H138" s="54">
        <v>4</v>
      </c>
      <c r="I138" s="54" t="s">
        <v>72</v>
      </c>
      <c r="J138" s="55">
        <v>1428.2</v>
      </c>
      <c r="K138" s="55">
        <v>1288.4000000000001</v>
      </c>
      <c r="L138" s="55">
        <v>1246.3</v>
      </c>
      <c r="M138" s="54">
        <v>65</v>
      </c>
      <c r="N138" s="72">
        <f>'Приложение 2'!E141</f>
        <v>1936321.92</v>
      </c>
      <c r="O138" s="297">
        <v>0</v>
      </c>
      <c r="P138" s="297">
        <v>0</v>
      </c>
      <c r="Q138" s="297">
        <v>0</v>
      </c>
      <c r="R138" s="297">
        <f t="shared" si="8"/>
        <v>1936321.92</v>
      </c>
      <c r="S138" s="297">
        <f t="shared" si="9"/>
        <v>1502.8887923005277</v>
      </c>
      <c r="T138" s="297">
        <v>4503.95</v>
      </c>
      <c r="U138" s="46" t="s">
        <v>225</v>
      </c>
    </row>
    <row r="139" spans="1:21" s="71" customFormat="1" ht="9" hidden="1" customHeight="1">
      <c r="A139" s="304">
        <v>122</v>
      </c>
      <c r="B139" s="68" t="s">
        <v>223</v>
      </c>
      <c r="C139" s="284" t="s">
        <v>998</v>
      </c>
      <c r="D139" s="284"/>
      <c r="E139" s="59">
        <v>1949</v>
      </c>
      <c r="F139" s="62"/>
      <c r="G139" s="54" t="s">
        <v>87</v>
      </c>
      <c r="H139" s="54">
        <v>5</v>
      </c>
      <c r="I139" s="54">
        <v>4</v>
      </c>
      <c r="J139" s="55">
        <v>2758.78</v>
      </c>
      <c r="K139" s="55">
        <v>2457.1799999999998</v>
      </c>
      <c r="L139" s="55">
        <v>2371</v>
      </c>
      <c r="M139" s="54">
        <v>98</v>
      </c>
      <c r="N139" s="72">
        <f>'Приложение 2'!E142</f>
        <v>3872686.96</v>
      </c>
      <c r="O139" s="297">
        <v>0</v>
      </c>
      <c r="P139" s="297">
        <v>0</v>
      </c>
      <c r="Q139" s="297">
        <v>0</v>
      </c>
      <c r="R139" s="297">
        <f t="shared" si="8"/>
        <v>3872686.96</v>
      </c>
      <c r="S139" s="297">
        <f t="shared" si="9"/>
        <v>1576.0697059230502</v>
      </c>
      <c r="T139" s="297">
        <v>4503.95</v>
      </c>
      <c r="U139" s="46" t="s">
        <v>225</v>
      </c>
    </row>
    <row r="140" spans="1:21" s="71" customFormat="1" ht="9" hidden="1" customHeight="1">
      <c r="A140" s="304">
        <v>123</v>
      </c>
      <c r="B140" s="68" t="s">
        <v>366</v>
      </c>
      <c r="C140" s="284" t="s">
        <v>998</v>
      </c>
      <c r="D140" s="284"/>
      <c r="E140" s="59">
        <v>1959</v>
      </c>
      <c r="F140" s="62"/>
      <c r="G140" s="54" t="s">
        <v>87</v>
      </c>
      <c r="H140" s="54">
        <v>3</v>
      </c>
      <c r="I140" s="54">
        <v>3</v>
      </c>
      <c r="J140" s="55">
        <v>1674.1</v>
      </c>
      <c r="K140" s="55">
        <v>1542.9</v>
      </c>
      <c r="L140" s="55">
        <v>1138</v>
      </c>
      <c r="M140" s="54">
        <v>63</v>
      </c>
      <c r="N140" s="72">
        <f>'Приложение 2'!E143</f>
        <v>2640715.48</v>
      </c>
      <c r="O140" s="297">
        <v>0</v>
      </c>
      <c r="P140" s="297">
        <v>0</v>
      </c>
      <c r="Q140" s="297">
        <v>0</v>
      </c>
      <c r="R140" s="297">
        <f t="shared" si="8"/>
        <v>2640715.48</v>
      </c>
      <c r="S140" s="297">
        <f t="shared" si="9"/>
        <v>1711.527305722989</v>
      </c>
      <c r="T140" s="297">
        <v>4503.95</v>
      </c>
      <c r="U140" s="46" t="s">
        <v>225</v>
      </c>
    </row>
    <row r="141" spans="1:21" s="71" customFormat="1" ht="9" hidden="1" customHeight="1">
      <c r="A141" s="304">
        <v>124</v>
      </c>
      <c r="B141" s="68" t="s">
        <v>1143</v>
      </c>
      <c r="C141" s="284" t="s">
        <v>997</v>
      </c>
      <c r="D141" s="284"/>
      <c r="E141" s="59">
        <v>1963</v>
      </c>
      <c r="F141" s="62"/>
      <c r="G141" s="54" t="s">
        <v>87</v>
      </c>
      <c r="H141" s="54">
        <v>4</v>
      </c>
      <c r="I141" s="54">
        <v>3</v>
      </c>
      <c r="J141" s="55">
        <v>2581.4</v>
      </c>
      <c r="K141" s="55">
        <v>1665.2</v>
      </c>
      <c r="L141" s="55">
        <v>978.8</v>
      </c>
      <c r="M141" s="54">
        <v>227</v>
      </c>
      <c r="N141" s="72">
        <f>'Приложение 2'!E144</f>
        <v>2227652.15</v>
      </c>
      <c r="O141" s="297">
        <v>0</v>
      </c>
      <c r="P141" s="297">
        <v>0</v>
      </c>
      <c r="Q141" s="297">
        <v>0</v>
      </c>
      <c r="R141" s="297">
        <f t="shared" ref="R141:R142" si="10">N141</f>
        <v>2227652.15</v>
      </c>
      <c r="S141" s="297">
        <f t="shared" si="9"/>
        <v>1337.7685263031467</v>
      </c>
      <c r="T141" s="297">
        <v>4180</v>
      </c>
      <c r="U141" s="46" t="s">
        <v>225</v>
      </c>
    </row>
    <row r="142" spans="1:21" s="71" customFormat="1" ht="9" hidden="1" customHeight="1">
      <c r="A142" s="304">
        <v>125</v>
      </c>
      <c r="B142" s="68" t="s">
        <v>1099</v>
      </c>
      <c r="C142" s="284"/>
      <c r="D142" s="284"/>
      <c r="E142" s="59">
        <v>1987</v>
      </c>
      <c r="F142" s="62"/>
      <c r="G142" s="54" t="s">
        <v>87</v>
      </c>
      <c r="H142" s="54">
        <v>5</v>
      </c>
      <c r="I142" s="54">
        <v>4</v>
      </c>
      <c r="J142" s="318">
        <v>2946.9</v>
      </c>
      <c r="K142" s="318">
        <v>2617.5</v>
      </c>
      <c r="L142" s="318">
        <v>2538.6</v>
      </c>
      <c r="M142" s="60">
        <v>135</v>
      </c>
      <c r="N142" s="72">
        <f>'Приложение 2'!E145</f>
        <v>97200</v>
      </c>
      <c r="O142" s="297">
        <v>0</v>
      </c>
      <c r="P142" s="297">
        <v>0</v>
      </c>
      <c r="Q142" s="297">
        <v>0</v>
      </c>
      <c r="R142" s="297">
        <f t="shared" si="10"/>
        <v>97200</v>
      </c>
      <c r="S142" s="297">
        <f t="shared" si="9"/>
        <v>37.134670487106014</v>
      </c>
      <c r="T142" s="297">
        <v>3929.2</v>
      </c>
      <c r="U142" s="46" t="s">
        <v>225</v>
      </c>
    </row>
    <row r="143" spans="1:21" s="71" customFormat="1" ht="20.25" hidden="1" customHeight="1">
      <c r="A143" s="510" t="s">
        <v>220</v>
      </c>
      <c r="B143" s="511"/>
      <c r="C143" s="284"/>
      <c r="D143" s="284"/>
      <c r="E143" s="59" t="s">
        <v>387</v>
      </c>
      <c r="F143" s="54" t="s">
        <v>387</v>
      </c>
      <c r="G143" s="54" t="s">
        <v>387</v>
      </c>
      <c r="H143" s="54" t="s">
        <v>387</v>
      </c>
      <c r="I143" s="54" t="s">
        <v>387</v>
      </c>
      <c r="J143" s="72">
        <f t="shared" ref="J143:M143" si="11">SUM(J133:J142)</f>
        <v>21140.480000000003</v>
      </c>
      <c r="K143" s="72">
        <f t="shared" si="11"/>
        <v>18537.980000000003</v>
      </c>
      <c r="L143" s="72">
        <f t="shared" si="11"/>
        <v>15866.199999999999</v>
      </c>
      <c r="M143" s="282">
        <f t="shared" si="11"/>
        <v>915</v>
      </c>
      <c r="N143" s="72">
        <f>SUM(N133:N142)</f>
        <v>25233089.669999998</v>
      </c>
      <c r="O143" s="72">
        <f t="shared" ref="O143:R143" si="12">SUM(O133:O142)</f>
        <v>0</v>
      </c>
      <c r="P143" s="72">
        <f t="shared" si="12"/>
        <v>0</v>
      </c>
      <c r="Q143" s="72">
        <f t="shared" si="12"/>
        <v>0</v>
      </c>
      <c r="R143" s="72">
        <f t="shared" si="12"/>
        <v>25233089.669999998</v>
      </c>
      <c r="S143" s="297">
        <f>N143/K143</f>
        <v>1361.1563757216263</v>
      </c>
      <c r="T143" s="297"/>
      <c r="U143" s="46"/>
    </row>
    <row r="144" spans="1:21" s="71" customFormat="1" ht="9" hidden="1" customHeight="1">
      <c r="A144" s="519" t="s">
        <v>229</v>
      </c>
      <c r="B144" s="520"/>
      <c r="C144" s="520"/>
      <c r="D144" s="520"/>
      <c r="E144" s="520"/>
      <c r="F144" s="520"/>
      <c r="G144" s="520"/>
      <c r="H144" s="520"/>
      <c r="I144" s="520"/>
      <c r="J144" s="520"/>
      <c r="K144" s="520"/>
      <c r="L144" s="520"/>
      <c r="M144" s="520"/>
      <c r="N144" s="520"/>
      <c r="O144" s="520"/>
      <c r="P144" s="520"/>
      <c r="Q144" s="520"/>
      <c r="R144" s="520"/>
      <c r="S144" s="520"/>
      <c r="T144" s="520"/>
      <c r="U144" s="521"/>
    </row>
    <row r="145" spans="1:21" s="71" customFormat="1" ht="9" hidden="1" customHeight="1">
      <c r="A145" s="294">
        <v>126</v>
      </c>
      <c r="B145" s="68" t="s">
        <v>230</v>
      </c>
      <c r="C145" s="69" t="s">
        <v>1001</v>
      </c>
      <c r="D145" s="69"/>
      <c r="E145" s="54">
        <v>1977</v>
      </c>
      <c r="F145" s="294"/>
      <c r="G145" s="54" t="s">
        <v>87</v>
      </c>
      <c r="H145" s="54">
        <v>2</v>
      </c>
      <c r="I145" s="54">
        <v>3</v>
      </c>
      <c r="J145" s="55">
        <v>1170</v>
      </c>
      <c r="K145" s="55">
        <v>1120</v>
      </c>
      <c r="L145" s="55">
        <v>1120</v>
      </c>
      <c r="M145" s="54">
        <v>21</v>
      </c>
      <c r="N145" s="297">
        <f>'Приложение 2'!E148</f>
        <v>2229910.67</v>
      </c>
      <c r="O145" s="297">
        <v>0</v>
      </c>
      <c r="P145" s="297">
        <v>0</v>
      </c>
      <c r="Q145" s="297">
        <v>0</v>
      </c>
      <c r="R145" s="297">
        <f t="shared" ref="R145:R152" si="13">N145</f>
        <v>2229910.67</v>
      </c>
      <c r="S145" s="297">
        <f t="shared" ref="S145:S153" si="14">N145/K145</f>
        <v>1990.991669642857</v>
      </c>
      <c r="T145" s="297">
        <v>3929.2</v>
      </c>
      <c r="U145" s="46" t="s">
        <v>225</v>
      </c>
    </row>
    <row r="146" spans="1:21" s="71" customFormat="1" ht="9" hidden="1" customHeight="1">
      <c r="A146" s="294">
        <v>127</v>
      </c>
      <c r="B146" s="68" t="s">
        <v>231</v>
      </c>
      <c r="C146" s="69" t="s">
        <v>998</v>
      </c>
      <c r="D146" s="69"/>
      <c r="E146" s="54">
        <v>1960</v>
      </c>
      <c r="F146" s="294"/>
      <c r="G146" s="54" t="s">
        <v>87</v>
      </c>
      <c r="H146" s="54">
        <v>2</v>
      </c>
      <c r="I146" s="54">
        <v>1</v>
      </c>
      <c r="J146" s="55">
        <v>387</v>
      </c>
      <c r="K146" s="55">
        <v>285.3</v>
      </c>
      <c r="L146" s="55">
        <v>208</v>
      </c>
      <c r="M146" s="54">
        <v>8</v>
      </c>
      <c r="N146" s="297">
        <f>'Приложение 2'!E149</f>
        <v>848778.18</v>
      </c>
      <c r="O146" s="297">
        <v>0</v>
      </c>
      <c r="P146" s="297">
        <v>0</v>
      </c>
      <c r="Q146" s="297">
        <v>0</v>
      </c>
      <c r="R146" s="297">
        <f t="shared" si="13"/>
        <v>848778.18</v>
      </c>
      <c r="S146" s="297">
        <f t="shared" si="14"/>
        <v>2975.0374342797058</v>
      </c>
      <c r="T146" s="297">
        <v>4503.95</v>
      </c>
      <c r="U146" s="46" t="s">
        <v>225</v>
      </c>
    </row>
    <row r="147" spans="1:21" s="71" customFormat="1" ht="9" hidden="1" customHeight="1">
      <c r="A147" s="294">
        <v>128</v>
      </c>
      <c r="B147" s="68" t="s">
        <v>232</v>
      </c>
      <c r="C147" s="69" t="s">
        <v>997</v>
      </c>
      <c r="D147" s="69"/>
      <c r="E147" s="54">
        <v>1984</v>
      </c>
      <c r="F147" s="294"/>
      <c r="G147" s="54" t="s">
        <v>87</v>
      </c>
      <c r="H147" s="54">
        <v>3</v>
      </c>
      <c r="I147" s="54">
        <v>2</v>
      </c>
      <c r="J147" s="55">
        <v>1389.6</v>
      </c>
      <c r="K147" s="55">
        <v>1281.0999999999999</v>
      </c>
      <c r="L147" s="55">
        <v>1233.3</v>
      </c>
      <c r="M147" s="54">
        <v>61</v>
      </c>
      <c r="N147" s="297">
        <f>'Приложение 2'!E150</f>
        <v>1526524.48</v>
      </c>
      <c r="O147" s="297">
        <v>0</v>
      </c>
      <c r="P147" s="297">
        <v>0</v>
      </c>
      <c r="Q147" s="297">
        <v>0</v>
      </c>
      <c r="R147" s="297">
        <f t="shared" si="13"/>
        <v>1526524.48</v>
      </c>
      <c r="S147" s="297">
        <f t="shared" si="14"/>
        <v>1191.5732417453751</v>
      </c>
      <c r="T147" s="297">
        <v>4180</v>
      </c>
      <c r="U147" s="46" t="s">
        <v>225</v>
      </c>
    </row>
    <row r="148" spans="1:21" s="71" customFormat="1" ht="9" hidden="1" customHeight="1">
      <c r="A148" s="294">
        <v>129</v>
      </c>
      <c r="B148" s="68" t="s">
        <v>237</v>
      </c>
      <c r="C148" s="69" t="s">
        <v>997</v>
      </c>
      <c r="D148" s="69"/>
      <c r="E148" s="54">
        <v>1989</v>
      </c>
      <c r="F148" s="294"/>
      <c r="G148" s="54" t="s">
        <v>87</v>
      </c>
      <c r="H148" s="54">
        <v>3</v>
      </c>
      <c r="I148" s="54">
        <v>1</v>
      </c>
      <c r="J148" s="55">
        <v>611.20000000000005</v>
      </c>
      <c r="K148" s="55">
        <v>560.79999999999995</v>
      </c>
      <c r="L148" s="55">
        <v>519</v>
      </c>
      <c r="M148" s="54">
        <v>35</v>
      </c>
      <c r="N148" s="297">
        <f>'Приложение 2'!E151</f>
        <v>1212878.1399999999</v>
      </c>
      <c r="O148" s="297">
        <v>0</v>
      </c>
      <c r="P148" s="297">
        <v>0</v>
      </c>
      <c r="Q148" s="297">
        <v>0</v>
      </c>
      <c r="R148" s="297">
        <f t="shared" si="13"/>
        <v>1212878.1399999999</v>
      </c>
      <c r="S148" s="297">
        <f t="shared" si="14"/>
        <v>2162.7641583452209</v>
      </c>
      <c r="T148" s="297">
        <v>4503.95</v>
      </c>
      <c r="U148" s="46" t="s">
        <v>225</v>
      </c>
    </row>
    <row r="149" spans="1:21" s="71" customFormat="1" ht="9" hidden="1" customHeight="1">
      <c r="A149" s="294">
        <v>130</v>
      </c>
      <c r="B149" s="68" t="s">
        <v>238</v>
      </c>
      <c r="C149" s="69" t="s">
        <v>997</v>
      </c>
      <c r="D149" s="69"/>
      <c r="E149" s="54">
        <v>1981</v>
      </c>
      <c r="F149" s="294"/>
      <c r="G149" s="54" t="s">
        <v>89</v>
      </c>
      <c r="H149" s="54">
        <v>5</v>
      </c>
      <c r="I149" s="54">
        <v>6</v>
      </c>
      <c r="J149" s="55">
        <v>4909.8999999999996</v>
      </c>
      <c r="K149" s="55">
        <v>4341.6000000000004</v>
      </c>
      <c r="L149" s="55">
        <v>4211.6000000000004</v>
      </c>
      <c r="M149" s="54">
        <v>182</v>
      </c>
      <c r="N149" s="297">
        <f>'Приложение 2'!E152</f>
        <v>2819384.29</v>
      </c>
      <c r="O149" s="297">
        <v>0</v>
      </c>
      <c r="P149" s="297">
        <v>0</v>
      </c>
      <c r="Q149" s="297">
        <v>0</v>
      </c>
      <c r="R149" s="297">
        <f t="shared" si="13"/>
        <v>2819384.29</v>
      </c>
      <c r="S149" s="297">
        <f t="shared" si="14"/>
        <v>649.38831076100973</v>
      </c>
      <c r="T149" s="297">
        <v>4180</v>
      </c>
      <c r="U149" s="46" t="s">
        <v>225</v>
      </c>
    </row>
    <row r="150" spans="1:21" s="71" customFormat="1" ht="9" hidden="1" customHeight="1">
      <c r="A150" s="294">
        <v>131</v>
      </c>
      <c r="B150" s="68" t="s">
        <v>233</v>
      </c>
      <c r="C150" s="69" t="s">
        <v>998</v>
      </c>
      <c r="D150" s="69"/>
      <c r="E150" s="54">
        <v>1939</v>
      </c>
      <c r="F150" s="294"/>
      <c r="G150" s="54" t="s">
        <v>87</v>
      </c>
      <c r="H150" s="54">
        <v>2</v>
      </c>
      <c r="I150" s="54">
        <v>3</v>
      </c>
      <c r="J150" s="55">
        <v>917.7</v>
      </c>
      <c r="K150" s="55">
        <v>822</v>
      </c>
      <c r="L150" s="55">
        <v>822</v>
      </c>
      <c r="M150" s="54">
        <v>36</v>
      </c>
      <c r="N150" s="297">
        <f>'Приложение 2'!E153</f>
        <v>2357499.15</v>
      </c>
      <c r="O150" s="297">
        <v>0</v>
      </c>
      <c r="P150" s="297">
        <v>0</v>
      </c>
      <c r="Q150" s="297">
        <v>0</v>
      </c>
      <c r="R150" s="297">
        <f t="shared" si="13"/>
        <v>2357499.15</v>
      </c>
      <c r="S150" s="297">
        <f t="shared" si="14"/>
        <v>2868.0038321167881</v>
      </c>
      <c r="T150" s="297">
        <v>4503.95</v>
      </c>
      <c r="U150" s="46" t="s">
        <v>225</v>
      </c>
    </row>
    <row r="151" spans="1:21" s="71" customFormat="1" ht="9" hidden="1" customHeight="1">
      <c r="A151" s="294">
        <v>132</v>
      </c>
      <c r="B151" s="68" t="s">
        <v>234</v>
      </c>
      <c r="C151" s="69" t="s">
        <v>998</v>
      </c>
      <c r="D151" s="69"/>
      <c r="E151" s="54">
        <v>1979</v>
      </c>
      <c r="F151" s="294"/>
      <c r="G151" s="54" t="s">
        <v>87</v>
      </c>
      <c r="H151" s="54">
        <v>2</v>
      </c>
      <c r="I151" s="54">
        <v>3</v>
      </c>
      <c r="J151" s="55">
        <v>945.2</v>
      </c>
      <c r="K151" s="55">
        <v>857</v>
      </c>
      <c r="L151" s="55">
        <v>760.6</v>
      </c>
      <c r="M151" s="54">
        <v>34</v>
      </c>
      <c r="N151" s="297">
        <f>'Приложение 2'!E154</f>
        <v>2153191.38</v>
      </c>
      <c r="O151" s="297">
        <v>0</v>
      </c>
      <c r="P151" s="297">
        <v>0</v>
      </c>
      <c r="Q151" s="297">
        <v>0</v>
      </c>
      <c r="R151" s="297">
        <f t="shared" si="13"/>
        <v>2153191.38</v>
      </c>
      <c r="S151" s="297">
        <f t="shared" si="14"/>
        <v>2512.4753558926486</v>
      </c>
      <c r="T151" s="297">
        <v>4503.95</v>
      </c>
      <c r="U151" s="46" t="s">
        <v>225</v>
      </c>
    </row>
    <row r="152" spans="1:21" s="71" customFormat="1" ht="9" hidden="1" customHeight="1">
      <c r="A152" s="294">
        <v>133</v>
      </c>
      <c r="B152" s="68" t="s">
        <v>235</v>
      </c>
      <c r="C152" s="69" t="s">
        <v>998</v>
      </c>
      <c r="D152" s="69"/>
      <c r="E152" s="54">
        <v>1928</v>
      </c>
      <c r="F152" s="294"/>
      <c r="G152" s="54" t="s">
        <v>87</v>
      </c>
      <c r="H152" s="54">
        <v>2</v>
      </c>
      <c r="I152" s="54">
        <v>1</v>
      </c>
      <c r="J152" s="55">
        <v>222</v>
      </c>
      <c r="K152" s="55">
        <v>207</v>
      </c>
      <c r="L152" s="55">
        <v>162.30000000000001</v>
      </c>
      <c r="M152" s="54">
        <v>9</v>
      </c>
      <c r="N152" s="297">
        <f>'Приложение 2'!E155</f>
        <v>802154.2</v>
      </c>
      <c r="O152" s="297">
        <v>0</v>
      </c>
      <c r="P152" s="297">
        <v>0</v>
      </c>
      <c r="Q152" s="297">
        <v>0</v>
      </c>
      <c r="R152" s="297">
        <f t="shared" si="13"/>
        <v>802154.2</v>
      </c>
      <c r="S152" s="297">
        <f t="shared" si="14"/>
        <v>3875.1410628019321</v>
      </c>
      <c r="T152" s="297">
        <v>4503.95</v>
      </c>
      <c r="U152" s="46" t="s">
        <v>225</v>
      </c>
    </row>
    <row r="153" spans="1:21" s="71" customFormat="1" ht="9" hidden="1" customHeight="1">
      <c r="A153" s="294">
        <v>134</v>
      </c>
      <c r="B153" s="285" t="s">
        <v>1013</v>
      </c>
      <c r="C153" s="294" t="s">
        <v>105</v>
      </c>
      <c r="D153" s="294"/>
      <c r="E153" s="294" t="s">
        <v>105</v>
      </c>
      <c r="F153" s="294"/>
      <c r="G153" s="294" t="s">
        <v>87</v>
      </c>
      <c r="H153" s="294" t="s">
        <v>72</v>
      </c>
      <c r="I153" s="294" t="s">
        <v>72</v>
      </c>
      <c r="J153" s="297">
        <v>464.6</v>
      </c>
      <c r="K153" s="297">
        <f>365.9+38.5</f>
        <v>404.4</v>
      </c>
      <c r="L153" s="297">
        <v>111.8</v>
      </c>
      <c r="M153" s="44">
        <v>12</v>
      </c>
      <c r="N153" s="297">
        <f>'Приложение 2'!E156</f>
        <v>424035.08</v>
      </c>
      <c r="O153" s="297">
        <v>0</v>
      </c>
      <c r="P153" s="297">
        <v>0</v>
      </c>
      <c r="Q153" s="297">
        <v>0</v>
      </c>
      <c r="R153" s="297">
        <f>N153-O153-P153-Q153</f>
        <v>424035.08</v>
      </c>
      <c r="S153" s="297">
        <f t="shared" si="14"/>
        <v>1048.5536102868448</v>
      </c>
      <c r="T153" s="297">
        <v>4984.6499999999996</v>
      </c>
      <c r="U153" s="46" t="s">
        <v>225</v>
      </c>
    </row>
    <row r="154" spans="1:21" s="71" customFormat="1" ht="9" hidden="1" customHeight="1">
      <c r="A154" s="294">
        <v>135</v>
      </c>
      <c r="B154" s="326" t="s">
        <v>1141</v>
      </c>
      <c r="C154" s="306"/>
      <c r="D154" s="306"/>
      <c r="E154" s="306">
        <v>1988</v>
      </c>
      <c r="F154" s="294"/>
      <c r="G154" s="294" t="s">
        <v>87</v>
      </c>
      <c r="H154" s="294">
        <v>5</v>
      </c>
      <c r="I154" s="294">
        <v>6</v>
      </c>
      <c r="J154" s="297">
        <v>4551.5999999999995</v>
      </c>
      <c r="K154" s="297">
        <v>4081.7</v>
      </c>
      <c r="L154" s="297">
        <v>4081.7</v>
      </c>
      <c r="M154" s="44">
        <v>205</v>
      </c>
      <c r="N154" s="297">
        <f>'Приложение 2'!E157</f>
        <v>246468</v>
      </c>
      <c r="O154" s="297">
        <v>0</v>
      </c>
      <c r="P154" s="297">
        <v>0</v>
      </c>
      <c r="Q154" s="297">
        <v>0</v>
      </c>
      <c r="R154" s="297">
        <f>N154-O154-P154-Q154</f>
        <v>246468</v>
      </c>
      <c r="S154" s="297">
        <f t="shared" ref="S154:S155" si="15">N154/K154</f>
        <v>60.383663669549456</v>
      </c>
      <c r="T154" s="297">
        <v>4984.6499999999996</v>
      </c>
      <c r="U154" s="46" t="s">
        <v>225</v>
      </c>
    </row>
    <row r="155" spans="1:21" s="71" customFormat="1" ht="9" hidden="1" customHeight="1">
      <c r="A155" s="294">
        <v>136</v>
      </c>
      <c r="B155" s="326" t="s">
        <v>1095</v>
      </c>
      <c r="C155" s="306"/>
      <c r="D155" s="306"/>
      <c r="E155" s="306">
        <v>1974</v>
      </c>
      <c r="F155" s="294"/>
      <c r="G155" s="294" t="s">
        <v>87</v>
      </c>
      <c r="H155" s="294">
        <v>5</v>
      </c>
      <c r="I155" s="294">
        <v>6</v>
      </c>
      <c r="J155" s="297">
        <v>4899.7</v>
      </c>
      <c r="K155" s="297">
        <v>4502.8999999999996</v>
      </c>
      <c r="L155" s="297">
        <v>4502.8999999999996</v>
      </c>
      <c r="M155" s="44">
        <v>188</v>
      </c>
      <c r="N155" s="297">
        <f>'Приложение 2'!E158</f>
        <v>755106</v>
      </c>
      <c r="O155" s="297">
        <v>0</v>
      </c>
      <c r="P155" s="297">
        <v>0</v>
      </c>
      <c r="Q155" s="297">
        <v>0</v>
      </c>
      <c r="R155" s="297">
        <f>N155-O155-P155-Q155</f>
        <v>755106</v>
      </c>
      <c r="S155" s="297">
        <f t="shared" si="15"/>
        <v>167.69326434075819</v>
      </c>
      <c r="T155" s="297">
        <v>172.43</v>
      </c>
      <c r="U155" s="46" t="s">
        <v>225</v>
      </c>
    </row>
    <row r="156" spans="1:21" s="71" customFormat="1" ht="22.5" hidden="1" customHeight="1">
      <c r="A156" s="510" t="s">
        <v>228</v>
      </c>
      <c r="B156" s="511"/>
      <c r="C156" s="284"/>
      <c r="D156" s="284"/>
      <c r="E156" s="59" t="s">
        <v>387</v>
      </c>
      <c r="F156" s="54" t="s">
        <v>387</v>
      </c>
      <c r="G156" s="54" t="s">
        <v>387</v>
      </c>
      <c r="H156" s="54" t="s">
        <v>387</v>
      </c>
      <c r="I156" s="54" t="s">
        <v>387</v>
      </c>
      <c r="J156" s="297">
        <f>SUM(J145:J155)</f>
        <v>20468.500000000004</v>
      </c>
      <c r="K156" s="297">
        <f t="shared" ref="K156:R156" si="16">SUM(K145:K155)</f>
        <v>18463.799999999996</v>
      </c>
      <c r="L156" s="297">
        <f t="shared" si="16"/>
        <v>17733.199999999997</v>
      </c>
      <c r="M156" s="45">
        <f t="shared" si="16"/>
        <v>791</v>
      </c>
      <c r="N156" s="297">
        <f>SUM(N145:N155)</f>
        <v>15375929.569999998</v>
      </c>
      <c r="O156" s="297">
        <f t="shared" si="16"/>
        <v>0</v>
      </c>
      <c r="P156" s="297">
        <f t="shared" si="16"/>
        <v>0</v>
      </c>
      <c r="Q156" s="297">
        <f t="shared" si="16"/>
        <v>0</v>
      </c>
      <c r="R156" s="297">
        <f t="shared" si="16"/>
        <v>15375929.569999998</v>
      </c>
      <c r="S156" s="297">
        <f>N156/K156</f>
        <v>832.76083850561656</v>
      </c>
      <c r="T156" s="294"/>
      <c r="U156" s="46"/>
    </row>
    <row r="157" spans="1:21" s="71" customFormat="1" ht="9" hidden="1" customHeight="1">
      <c r="A157" s="519" t="s">
        <v>239</v>
      </c>
      <c r="B157" s="520"/>
      <c r="C157" s="520"/>
      <c r="D157" s="520"/>
      <c r="E157" s="520"/>
      <c r="F157" s="520"/>
      <c r="G157" s="520"/>
      <c r="H157" s="520"/>
      <c r="I157" s="520"/>
      <c r="J157" s="520"/>
      <c r="K157" s="520"/>
      <c r="L157" s="520"/>
      <c r="M157" s="520"/>
      <c r="N157" s="520"/>
      <c r="O157" s="520"/>
      <c r="P157" s="520"/>
      <c r="Q157" s="520"/>
      <c r="R157" s="520"/>
      <c r="S157" s="520"/>
      <c r="T157" s="520"/>
      <c r="U157" s="521"/>
    </row>
    <row r="158" spans="1:21" s="71" customFormat="1" ht="9" hidden="1" customHeight="1">
      <c r="A158" s="302">
        <v>137</v>
      </c>
      <c r="B158" s="73" t="s">
        <v>242</v>
      </c>
      <c r="C158" s="73" t="s">
        <v>998</v>
      </c>
      <c r="D158" s="73"/>
      <c r="E158" s="294">
        <v>1975</v>
      </c>
      <c r="F158" s="294"/>
      <c r="G158" s="294" t="s">
        <v>87</v>
      </c>
      <c r="H158" s="294">
        <v>5</v>
      </c>
      <c r="I158" s="294">
        <v>3</v>
      </c>
      <c r="J158" s="297">
        <v>3533.9</v>
      </c>
      <c r="K158" s="297">
        <v>2842</v>
      </c>
      <c r="L158" s="297">
        <v>2842</v>
      </c>
      <c r="M158" s="294">
        <v>156</v>
      </c>
      <c r="N158" s="297">
        <f>'Приложение 2'!E161</f>
        <v>2426022.9500000002</v>
      </c>
      <c r="O158" s="297">
        <v>0</v>
      </c>
      <c r="P158" s="297">
        <v>0</v>
      </c>
      <c r="Q158" s="297">
        <v>0</v>
      </c>
      <c r="R158" s="297">
        <f t="shared" ref="R158:R160" si="17">N158</f>
        <v>2426022.9500000002</v>
      </c>
      <c r="S158" s="297">
        <f>N158/K158</f>
        <v>853.63228360309643</v>
      </c>
      <c r="T158" s="297">
        <v>4503.95</v>
      </c>
      <c r="U158" s="46" t="s">
        <v>225</v>
      </c>
    </row>
    <row r="159" spans="1:21" s="71" customFormat="1" ht="9" hidden="1" customHeight="1">
      <c r="A159" s="302">
        <v>138</v>
      </c>
      <c r="B159" s="73" t="s">
        <v>244</v>
      </c>
      <c r="C159" s="73" t="s">
        <v>997</v>
      </c>
      <c r="D159" s="73"/>
      <c r="E159" s="294">
        <v>1972</v>
      </c>
      <c r="F159" s="294"/>
      <c r="G159" s="294" t="s">
        <v>87</v>
      </c>
      <c r="H159" s="294">
        <v>2</v>
      </c>
      <c r="I159" s="294">
        <v>3</v>
      </c>
      <c r="J159" s="297">
        <v>769.6</v>
      </c>
      <c r="K159" s="297">
        <v>737.6</v>
      </c>
      <c r="L159" s="297">
        <v>737.6</v>
      </c>
      <c r="M159" s="294">
        <v>33</v>
      </c>
      <c r="N159" s="297">
        <f>'Приложение 2'!E162</f>
        <v>2231893.69</v>
      </c>
      <c r="O159" s="297">
        <v>0</v>
      </c>
      <c r="P159" s="297">
        <v>0</v>
      </c>
      <c r="Q159" s="297">
        <v>0</v>
      </c>
      <c r="R159" s="297">
        <f t="shared" si="17"/>
        <v>2231893.69</v>
      </c>
      <c r="S159" s="297">
        <f>N159/K159</f>
        <v>3025.8862391540129</v>
      </c>
      <c r="T159" s="297">
        <v>4503.95</v>
      </c>
      <c r="U159" s="46" t="s">
        <v>225</v>
      </c>
    </row>
    <row r="160" spans="1:21" s="71" customFormat="1" ht="9" hidden="1" customHeight="1">
      <c r="A160" s="302">
        <v>139</v>
      </c>
      <c r="B160" s="68" t="s">
        <v>245</v>
      </c>
      <c r="C160" s="68" t="s">
        <v>1000</v>
      </c>
      <c r="D160" s="68"/>
      <c r="E160" s="294">
        <v>1993</v>
      </c>
      <c r="F160" s="294"/>
      <c r="G160" s="294" t="s">
        <v>241</v>
      </c>
      <c r="H160" s="294">
        <v>3</v>
      </c>
      <c r="I160" s="294">
        <v>3</v>
      </c>
      <c r="J160" s="297">
        <v>1935.4</v>
      </c>
      <c r="K160" s="297">
        <v>1702.7</v>
      </c>
      <c r="L160" s="297">
        <v>1702.7</v>
      </c>
      <c r="M160" s="294">
        <v>78</v>
      </c>
      <c r="N160" s="297">
        <f>'Приложение 2'!E163</f>
        <v>1253515.82</v>
      </c>
      <c r="O160" s="297">
        <v>0</v>
      </c>
      <c r="P160" s="297">
        <v>0</v>
      </c>
      <c r="Q160" s="297">
        <v>0</v>
      </c>
      <c r="R160" s="297">
        <f t="shared" si="17"/>
        <v>1253515.82</v>
      </c>
      <c r="S160" s="297">
        <f>N160/K160</f>
        <v>736.19299935396725</v>
      </c>
      <c r="T160" s="297">
        <v>4984.6499999999996</v>
      </c>
      <c r="U160" s="46" t="s">
        <v>225</v>
      </c>
    </row>
    <row r="161" spans="1:21" s="71" customFormat="1" ht="20.25" hidden="1" customHeight="1">
      <c r="A161" s="510" t="s">
        <v>422</v>
      </c>
      <c r="B161" s="511"/>
      <c r="C161" s="284"/>
      <c r="D161" s="284"/>
      <c r="E161" s="294" t="s">
        <v>387</v>
      </c>
      <c r="F161" s="294" t="s">
        <v>387</v>
      </c>
      <c r="G161" s="294" t="s">
        <v>387</v>
      </c>
      <c r="H161" s="294" t="s">
        <v>387</v>
      </c>
      <c r="I161" s="294" t="s">
        <v>387</v>
      </c>
      <c r="J161" s="74">
        <f t="shared" ref="J161:R161" si="18">SUM(J158:J160)</f>
        <v>6238.9</v>
      </c>
      <c r="K161" s="74">
        <f t="shared" si="18"/>
        <v>5282.3</v>
      </c>
      <c r="L161" s="74">
        <f t="shared" si="18"/>
        <v>5282.3</v>
      </c>
      <c r="M161" s="44">
        <f t="shared" si="18"/>
        <v>267</v>
      </c>
      <c r="N161" s="74">
        <f t="shared" si="18"/>
        <v>5911432.4600000009</v>
      </c>
      <c r="O161" s="74">
        <f t="shared" si="18"/>
        <v>0</v>
      </c>
      <c r="P161" s="74">
        <f t="shared" si="18"/>
        <v>0</v>
      </c>
      <c r="Q161" s="74">
        <f t="shared" si="18"/>
        <v>0</v>
      </c>
      <c r="R161" s="74">
        <f t="shared" si="18"/>
        <v>5911432.4600000009</v>
      </c>
      <c r="S161" s="297">
        <f>N161/K161</f>
        <v>1119.1019934498231</v>
      </c>
      <c r="T161" s="297"/>
      <c r="U161" s="46"/>
    </row>
    <row r="162" spans="1:21" s="71" customFormat="1" ht="9" hidden="1" customHeight="1">
      <c r="A162" s="519" t="s">
        <v>248</v>
      </c>
      <c r="B162" s="520"/>
      <c r="C162" s="520"/>
      <c r="D162" s="520"/>
      <c r="E162" s="520"/>
      <c r="F162" s="520"/>
      <c r="G162" s="520"/>
      <c r="H162" s="520"/>
      <c r="I162" s="520"/>
      <c r="J162" s="520"/>
      <c r="K162" s="520"/>
      <c r="L162" s="520"/>
      <c r="M162" s="520"/>
      <c r="N162" s="520"/>
      <c r="O162" s="520"/>
      <c r="P162" s="520"/>
      <c r="Q162" s="520"/>
      <c r="R162" s="520"/>
      <c r="S162" s="520"/>
      <c r="T162" s="520"/>
      <c r="U162" s="521"/>
    </row>
    <row r="163" spans="1:21" s="71" customFormat="1" ht="9" hidden="1" customHeight="1">
      <c r="A163" s="294">
        <v>140</v>
      </c>
      <c r="B163" s="68" t="s">
        <v>250</v>
      </c>
      <c r="C163" s="285" t="s">
        <v>998</v>
      </c>
      <c r="D163" s="285"/>
      <c r="E163" s="294">
        <v>1935</v>
      </c>
      <c r="F163" s="294"/>
      <c r="G163" s="294" t="s">
        <v>249</v>
      </c>
      <c r="H163" s="294">
        <v>2</v>
      </c>
      <c r="I163" s="294">
        <v>1</v>
      </c>
      <c r="J163" s="297">
        <v>358</v>
      </c>
      <c r="K163" s="297">
        <v>348</v>
      </c>
      <c r="L163" s="297">
        <v>295.86</v>
      </c>
      <c r="M163" s="44">
        <v>13</v>
      </c>
      <c r="N163" s="72">
        <f>'Приложение 2'!E166</f>
        <v>1028545.8</v>
      </c>
      <c r="O163" s="297">
        <v>0</v>
      </c>
      <c r="P163" s="297">
        <v>0</v>
      </c>
      <c r="Q163" s="297">
        <v>0</v>
      </c>
      <c r="R163" s="297">
        <f>N163</f>
        <v>1028545.8</v>
      </c>
      <c r="S163" s="297">
        <f t="shared" ref="S163:S168" si="19">N163/K163</f>
        <v>2955.591379310345</v>
      </c>
      <c r="T163" s="297">
        <v>4503.95</v>
      </c>
      <c r="U163" s="46" t="s">
        <v>225</v>
      </c>
    </row>
    <row r="164" spans="1:21" s="71" customFormat="1" ht="9" hidden="1" customHeight="1">
      <c r="A164" s="294">
        <v>141</v>
      </c>
      <c r="B164" s="68" t="s">
        <v>252</v>
      </c>
      <c r="C164" s="285" t="s">
        <v>998</v>
      </c>
      <c r="D164" s="285"/>
      <c r="E164" s="294">
        <v>1952</v>
      </c>
      <c r="F164" s="294"/>
      <c r="G164" s="294" t="s">
        <v>249</v>
      </c>
      <c r="H164" s="294" t="s">
        <v>72</v>
      </c>
      <c r="I164" s="294" t="s">
        <v>71</v>
      </c>
      <c r="J164" s="297">
        <v>432.5</v>
      </c>
      <c r="K164" s="297">
        <v>408.3</v>
      </c>
      <c r="L164" s="297">
        <v>408.3</v>
      </c>
      <c r="M164" s="44">
        <v>9</v>
      </c>
      <c r="N164" s="72">
        <f>'Приложение 2'!E167</f>
        <v>1162411.06</v>
      </c>
      <c r="O164" s="297">
        <v>0</v>
      </c>
      <c r="P164" s="297">
        <v>0</v>
      </c>
      <c r="Q164" s="297">
        <v>0</v>
      </c>
      <c r="R164" s="297">
        <f>N164</f>
        <v>1162411.06</v>
      </c>
      <c r="S164" s="297">
        <f t="shared" si="19"/>
        <v>2846.9533676218466</v>
      </c>
      <c r="T164" s="297">
        <v>4503.95</v>
      </c>
      <c r="U164" s="46" t="s">
        <v>225</v>
      </c>
    </row>
    <row r="165" spans="1:21" s="71" customFormat="1" ht="9" hidden="1" customHeight="1">
      <c r="A165" s="294">
        <v>142</v>
      </c>
      <c r="B165" s="68" t="s">
        <v>251</v>
      </c>
      <c r="C165" s="285" t="s">
        <v>998</v>
      </c>
      <c r="D165" s="285"/>
      <c r="E165" s="294">
        <v>1952</v>
      </c>
      <c r="F165" s="294"/>
      <c r="G165" s="294" t="s">
        <v>249</v>
      </c>
      <c r="H165" s="294" t="s">
        <v>72</v>
      </c>
      <c r="I165" s="294">
        <v>1</v>
      </c>
      <c r="J165" s="297">
        <v>454.6</v>
      </c>
      <c r="K165" s="297">
        <v>410</v>
      </c>
      <c r="L165" s="297">
        <v>398.2</v>
      </c>
      <c r="M165" s="44">
        <v>16</v>
      </c>
      <c r="N165" s="72">
        <f>'Приложение 2'!E168</f>
        <v>1179662.1200000001</v>
      </c>
      <c r="O165" s="297">
        <v>0</v>
      </c>
      <c r="P165" s="297">
        <v>0</v>
      </c>
      <c r="Q165" s="297">
        <v>0</v>
      </c>
      <c r="R165" s="297">
        <f>N165</f>
        <v>1179662.1200000001</v>
      </c>
      <c r="S165" s="297">
        <f t="shared" si="19"/>
        <v>2877.2246829268297</v>
      </c>
      <c r="T165" s="297">
        <v>4503.95</v>
      </c>
      <c r="U165" s="46" t="s">
        <v>225</v>
      </c>
    </row>
    <row r="166" spans="1:21" s="71" customFormat="1" ht="9" hidden="1" customHeight="1">
      <c r="A166" s="294">
        <v>143</v>
      </c>
      <c r="B166" s="68" t="s">
        <v>253</v>
      </c>
      <c r="C166" s="285" t="s">
        <v>997</v>
      </c>
      <c r="D166" s="285"/>
      <c r="E166" s="294">
        <v>1977</v>
      </c>
      <c r="F166" s="294"/>
      <c r="G166" s="294" t="s">
        <v>87</v>
      </c>
      <c r="H166" s="294">
        <v>5</v>
      </c>
      <c r="I166" s="294">
        <v>4</v>
      </c>
      <c r="J166" s="297">
        <v>3632.3</v>
      </c>
      <c r="K166" s="297">
        <v>3317.3</v>
      </c>
      <c r="L166" s="297">
        <v>3153</v>
      </c>
      <c r="M166" s="44">
        <v>127</v>
      </c>
      <c r="N166" s="72">
        <f>'Приложение 2'!E169</f>
        <v>2548444.66</v>
      </c>
      <c r="O166" s="297">
        <v>0</v>
      </c>
      <c r="P166" s="297">
        <v>0</v>
      </c>
      <c r="Q166" s="297">
        <v>0</v>
      </c>
      <c r="R166" s="297">
        <f>N166</f>
        <v>2548444.66</v>
      </c>
      <c r="S166" s="297">
        <f t="shared" si="19"/>
        <v>768.22857745757096</v>
      </c>
      <c r="T166" s="297">
        <v>4180</v>
      </c>
      <c r="U166" s="46" t="s">
        <v>225</v>
      </c>
    </row>
    <row r="167" spans="1:21" s="71" customFormat="1" ht="9" hidden="1" customHeight="1">
      <c r="A167" s="294">
        <v>144</v>
      </c>
      <c r="B167" s="68" t="s">
        <v>254</v>
      </c>
      <c r="C167" s="285" t="s">
        <v>997</v>
      </c>
      <c r="D167" s="285"/>
      <c r="E167" s="294">
        <v>1977</v>
      </c>
      <c r="F167" s="294"/>
      <c r="G167" s="294" t="s">
        <v>87</v>
      </c>
      <c r="H167" s="294">
        <v>5</v>
      </c>
      <c r="I167" s="294">
        <v>4</v>
      </c>
      <c r="J167" s="297">
        <v>2570.9</v>
      </c>
      <c r="K167" s="297">
        <v>2284.17</v>
      </c>
      <c r="L167" s="297">
        <v>2226.12</v>
      </c>
      <c r="M167" s="44">
        <v>87</v>
      </c>
      <c r="N167" s="72">
        <f>'Приложение 2'!E170</f>
        <v>1753026.28</v>
      </c>
      <c r="O167" s="297">
        <v>0</v>
      </c>
      <c r="P167" s="297">
        <v>0</v>
      </c>
      <c r="Q167" s="297">
        <v>0</v>
      </c>
      <c r="R167" s="297">
        <f t="shared" ref="R167:R168" si="20">N167</f>
        <v>1753026.28</v>
      </c>
      <c r="S167" s="297">
        <f t="shared" si="19"/>
        <v>767.46751774167421</v>
      </c>
      <c r="T167" s="297">
        <v>4180</v>
      </c>
      <c r="U167" s="46" t="s">
        <v>225</v>
      </c>
    </row>
    <row r="168" spans="1:21" s="71" customFormat="1" ht="9.75" hidden="1" customHeight="1">
      <c r="A168" s="294">
        <v>145</v>
      </c>
      <c r="B168" s="68" t="s">
        <v>255</v>
      </c>
      <c r="C168" s="285" t="s">
        <v>997</v>
      </c>
      <c r="D168" s="285"/>
      <c r="E168" s="294">
        <v>1983</v>
      </c>
      <c r="F168" s="294"/>
      <c r="G168" s="294" t="s">
        <v>89</v>
      </c>
      <c r="H168" s="294">
        <v>5</v>
      </c>
      <c r="I168" s="294">
        <v>10</v>
      </c>
      <c r="J168" s="297">
        <v>8123.2</v>
      </c>
      <c r="K168" s="297">
        <v>7468.76</v>
      </c>
      <c r="L168" s="297">
        <v>7242.96</v>
      </c>
      <c r="M168" s="44">
        <v>290</v>
      </c>
      <c r="N168" s="72">
        <f>'Приложение 2'!E171</f>
        <v>4657435.62</v>
      </c>
      <c r="O168" s="297">
        <v>0</v>
      </c>
      <c r="P168" s="297">
        <v>0</v>
      </c>
      <c r="Q168" s="297">
        <v>0</v>
      </c>
      <c r="R168" s="297">
        <f t="shared" si="20"/>
        <v>4657435.62</v>
      </c>
      <c r="S168" s="297">
        <f t="shared" si="19"/>
        <v>623.58887151280805</v>
      </c>
      <c r="T168" s="297">
        <v>4180</v>
      </c>
      <c r="U168" s="46" t="s">
        <v>225</v>
      </c>
    </row>
    <row r="169" spans="1:21" s="71" customFormat="1" ht="21" hidden="1" customHeight="1">
      <c r="A169" s="510" t="s">
        <v>247</v>
      </c>
      <c r="B169" s="511"/>
      <c r="C169" s="75"/>
      <c r="D169" s="75"/>
      <c r="E169" s="300" t="s">
        <v>387</v>
      </c>
      <c r="F169" s="300" t="s">
        <v>387</v>
      </c>
      <c r="G169" s="300" t="s">
        <v>387</v>
      </c>
      <c r="H169" s="300" t="s">
        <v>387</v>
      </c>
      <c r="I169" s="300" t="s">
        <v>387</v>
      </c>
      <c r="J169" s="76">
        <f t="shared" ref="J169:R169" si="21">SUM(J163:J168)</f>
        <v>15571.5</v>
      </c>
      <c r="K169" s="76">
        <f t="shared" si="21"/>
        <v>14236.53</v>
      </c>
      <c r="L169" s="76">
        <f t="shared" si="21"/>
        <v>13724.44</v>
      </c>
      <c r="M169" s="44">
        <f t="shared" si="21"/>
        <v>542</v>
      </c>
      <c r="N169" s="76">
        <f t="shared" si="21"/>
        <v>12329525.540000001</v>
      </c>
      <c r="O169" s="76">
        <f t="shared" si="21"/>
        <v>0</v>
      </c>
      <c r="P169" s="76">
        <f t="shared" si="21"/>
        <v>0</v>
      </c>
      <c r="Q169" s="76">
        <f t="shared" si="21"/>
        <v>0</v>
      </c>
      <c r="R169" s="76">
        <f t="shared" si="21"/>
        <v>12329525.540000001</v>
      </c>
      <c r="S169" s="297">
        <f>N169/K169</f>
        <v>866.04850620200295</v>
      </c>
      <c r="T169" s="76"/>
      <c r="U169" s="77"/>
    </row>
    <row r="170" spans="1:21" s="71" customFormat="1" ht="9" hidden="1" customHeight="1">
      <c r="A170" s="514" t="s">
        <v>256</v>
      </c>
      <c r="B170" s="515"/>
      <c r="C170" s="515"/>
      <c r="D170" s="515"/>
      <c r="E170" s="515"/>
      <c r="F170" s="515"/>
      <c r="G170" s="515"/>
      <c r="H170" s="515"/>
      <c r="I170" s="515"/>
      <c r="J170" s="515"/>
      <c r="K170" s="515"/>
      <c r="L170" s="515"/>
      <c r="M170" s="515"/>
      <c r="N170" s="515"/>
      <c r="O170" s="515"/>
      <c r="P170" s="515"/>
      <c r="Q170" s="515"/>
      <c r="R170" s="515"/>
      <c r="S170" s="515"/>
      <c r="T170" s="515"/>
      <c r="U170" s="516"/>
    </row>
    <row r="171" spans="1:21" s="71" customFormat="1" ht="9" hidden="1" customHeight="1">
      <c r="A171" s="78">
        <v>146</v>
      </c>
      <c r="B171" s="287" t="s">
        <v>257</v>
      </c>
      <c r="C171" s="78" t="s">
        <v>998</v>
      </c>
      <c r="D171" s="78"/>
      <c r="E171" s="78">
        <v>1966</v>
      </c>
      <c r="F171" s="78"/>
      <c r="G171" s="78" t="s">
        <v>87</v>
      </c>
      <c r="H171" s="78">
        <v>4</v>
      </c>
      <c r="I171" s="78">
        <v>2</v>
      </c>
      <c r="J171" s="78">
        <v>2816.45</v>
      </c>
      <c r="K171" s="78">
        <v>2677.95</v>
      </c>
      <c r="L171" s="78">
        <v>2325.5500000000002</v>
      </c>
      <c r="M171" s="78">
        <v>82</v>
      </c>
      <c r="N171" s="79">
        <f>'Приложение 2'!E174</f>
        <v>3232697.2</v>
      </c>
      <c r="O171" s="297">
        <v>0</v>
      </c>
      <c r="P171" s="297">
        <v>0</v>
      </c>
      <c r="Q171" s="297">
        <v>0</v>
      </c>
      <c r="R171" s="79">
        <f>N171</f>
        <v>3232697.2</v>
      </c>
      <c r="S171" s="297">
        <f>N171/K171</f>
        <v>1207.1536809873226</v>
      </c>
      <c r="T171" s="297">
        <v>4503.95</v>
      </c>
      <c r="U171" s="46" t="s">
        <v>225</v>
      </c>
    </row>
    <row r="172" spans="1:21" s="71" customFormat="1" ht="9" hidden="1" customHeight="1">
      <c r="A172" s="78">
        <v>147</v>
      </c>
      <c r="B172" s="287" t="s">
        <v>404</v>
      </c>
      <c r="C172" s="78" t="s">
        <v>997</v>
      </c>
      <c r="D172" s="78"/>
      <c r="E172" s="78">
        <v>1985</v>
      </c>
      <c r="F172" s="78"/>
      <c r="G172" s="78" t="s">
        <v>89</v>
      </c>
      <c r="H172" s="78">
        <v>5</v>
      </c>
      <c r="I172" s="78">
        <v>4</v>
      </c>
      <c r="J172" s="78">
        <v>3379.29</v>
      </c>
      <c r="K172" s="78">
        <v>3320.29</v>
      </c>
      <c r="L172" s="78">
        <v>2743.74</v>
      </c>
      <c r="M172" s="78">
        <v>140</v>
      </c>
      <c r="N172" s="79">
        <f>'Приложение 2'!E175</f>
        <v>2718987.2</v>
      </c>
      <c r="O172" s="297">
        <v>0</v>
      </c>
      <c r="P172" s="297">
        <v>0</v>
      </c>
      <c r="Q172" s="297">
        <v>0</v>
      </c>
      <c r="R172" s="79">
        <f t="shared" ref="R172" si="22">N172</f>
        <v>2718987.2</v>
      </c>
      <c r="S172" s="297">
        <f>N172/K172</f>
        <v>818.90051772586139</v>
      </c>
      <c r="T172" s="297">
        <v>4180</v>
      </c>
      <c r="U172" s="46" t="s">
        <v>225</v>
      </c>
    </row>
    <row r="173" spans="1:21" s="71" customFormat="1" ht="20.25" hidden="1" customHeight="1">
      <c r="A173" s="512" t="s">
        <v>258</v>
      </c>
      <c r="B173" s="513"/>
      <c r="C173" s="287"/>
      <c r="D173" s="287"/>
      <c r="E173" s="294" t="s">
        <v>387</v>
      </c>
      <c r="F173" s="294" t="s">
        <v>387</v>
      </c>
      <c r="G173" s="294" t="s">
        <v>387</v>
      </c>
      <c r="H173" s="294" t="s">
        <v>387</v>
      </c>
      <c r="I173" s="294" t="s">
        <v>387</v>
      </c>
      <c r="J173" s="79">
        <f t="shared" ref="J173:R173" si="23">SUM(J171:J172)</f>
        <v>6195.74</v>
      </c>
      <c r="K173" s="79">
        <f t="shared" si="23"/>
        <v>5998.24</v>
      </c>
      <c r="L173" s="79">
        <f t="shared" si="23"/>
        <v>5069.29</v>
      </c>
      <c r="M173" s="44">
        <f t="shared" si="23"/>
        <v>222</v>
      </c>
      <c r="N173" s="79">
        <f t="shared" si="23"/>
        <v>5951684.4000000004</v>
      </c>
      <c r="O173" s="79">
        <f t="shared" si="23"/>
        <v>0</v>
      </c>
      <c r="P173" s="79">
        <f t="shared" si="23"/>
        <v>0</v>
      </c>
      <c r="Q173" s="79">
        <f t="shared" si="23"/>
        <v>0</v>
      </c>
      <c r="R173" s="79">
        <f t="shared" si="23"/>
        <v>5951684.4000000004</v>
      </c>
      <c r="S173" s="297">
        <f>N173/K173</f>
        <v>992.23845661394023</v>
      </c>
      <c r="T173" s="78"/>
      <c r="U173" s="80"/>
    </row>
    <row r="174" spans="1:21" s="71" customFormat="1" ht="11.25" hidden="1" customHeight="1">
      <c r="A174" s="519" t="s">
        <v>261</v>
      </c>
      <c r="B174" s="520"/>
      <c r="C174" s="520"/>
      <c r="D174" s="520"/>
      <c r="E174" s="520"/>
      <c r="F174" s="520"/>
      <c r="G174" s="520"/>
      <c r="H174" s="520"/>
      <c r="I174" s="520"/>
      <c r="J174" s="520"/>
      <c r="K174" s="520"/>
      <c r="L174" s="520"/>
      <c r="M174" s="520"/>
      <c r="N174" s="520"/>
      <c r="O174" s="520"/>
      <c r="P174" s="520"/>
      <c r="Q174" s="520"/>
      <c r="R174" s="520"/>
      <c r="S174" s="520"/>
      <c r="T174" s="520"/>
      <c r="U174" s="521"/>
    </row>
    <row r="175" spans="1:21" ht="9" hidden="1" customHeight="1">
      <c r="A175" s="294">
        <v>148</v>
      </c>
      <c r="B175" s="68" t="s">
        <v>267</v>
      </c>
      <c r="C175" s="285" t="s">
        <v>998</v>
      </c>
      <c r="D175" s="285"/>
      <c r="E175" s="294">
        <v>1974</v>
      </c>
      <c r="F175" s="294"/>
      <c r="G175" s="294" t="s">
        <v>87</v>
      </c>
      <c r="H175" s="294" t="s">
        <v>72</v>
      </c>
      <c r="I175" s="294">
        <v>2</v>
      </c>
      <c r="J175" s="297">
        <v>591.5</v>
      </c>
      <c r="K175" s="297">
        <v>556.70000000000005</v>
      </c>
      <c r="L175" s="297">
        <v>556.70000000000005</v>
      </c>
      <c r="M175" s="294">
        <v>22</v>
      </c>
      <c r="N175" s="72">
        <f>'Приложение 2'!E178</f>
        <v>1455569.4</v>
      </c>
      <c r="O175" s="297">
        <v>0</v>
      </c>
      <c r="P175" s="297">
        <v>0</v>
      </c>
      <c r="Q175" s="297">
        <v>0</v>
      </c>
      <c r="R175" s="297">
        <f>N175</f>
        <v>1455569.4</v>
      </c>
      <c r="S175" s="297">
        <f>N175/K175</f>
        <v>2614.6387641458591</v>
      </c>
      <c r="T175" s="297">
        <v>4503.95</v>
      </c>
      <c r="U175" s="46" t="s">
        <v>225</v>
      </c>
    </row>
    <row r="176" spans="1:21" ht="9" hidden="1" customHeight="1">
      <c r="A176" s="294">
        <v>149</v>
      </c>
      <c r="B176" s="81" t="s">
        <v>265</v>
      </c>
      <c r="C176" s="284" t="s">
        <v>998</v>
      </c>
      <c r="D176" s="284"/>
      <c r="E176" s="294">
        <v>1962</v>
      </c>
      <c r="F176" s="294"/>
      <c r="G176" s="294" t="s">
        <v>87</v>
      </c>
      <c r="H176" s="294">
        <v>2</v>
      </c>
      <c r="I176" s="294">
        <v>1</v>
      </c>
      <c r="J176" s="297">
        <v>304.74</v>
      </c>
      <c r="K176" s="297">
        <v>275.39999999999998</v>
      </c>
      <c r="L176" s="297">
        <v>275.39999999999998</v>
      </c>
      <c r="M176" s="294">
        <v>15</v>
      </c>
      <c r="N176" s="72">
        <f>'Приложение 2'!E179</f>
        <v>804949.72</v>
      </c>
      <c r="O176" s="297">
        <v>0</v>
      </c>
      <c r="P176" s="297">
        <v>0</v>
      </c>
      <c r="Q176" s="297">
        <v>0</v>
      </c>
      <c r="R176" s="297">
        <f t="shared" ref="R176:R178" si="24">N176</f>
        <v>804949.72</v>
      </c>
      <c r="S176" s="297">
        <f t="shared" ref="S176:S178" si="25">N176/K176</f>
        <v>2922.838489469862</v>
      </c>
      <c r="T176" s="297">
        <v>4503.95</v>
      </c>
      <c r="U176" s="46" t="s">
        <v>225</v>
      </c>
    </row>
    <row r="177" spans="1:21" ht="9" hidden="1" customHeight="1">
      <c r="A177" s="294">
        <v>150</v>
      </c>
      <c r="B177" s="81" t="s">
        <v>262</v>
      </c>
      <c r="C177" s="284" t="s">
        <v>998</v>
      </c>
      <c r="D177" s="284"/>
      <c r="E177" s="294">
        <v>1962</v>
      </c>
      <c r="F177" s="294"/>
      <c r="G177" s="294" t="s">
        <v>87</v>
      </c>
      <c r="H177" s="294">
        <v>2</v>
      </c>
      <c r="I177" s="294">
        <v>2</v>
      </c>
      <c r="J177" s="297">
        <v>503.2</v>
      </c>
      <c r="K177" s="297">
        <v>467.4</v>
      </c>
      <c r="L177" s="297">
        <v>467.4</v>
      </c>
      <c r="M177" s="294">
        <v>16</v>
      </c>
      <c r="N177" s="72">
        <f>'Приложение 2'!E180</f>
        <v>1522380.2</v>
      </c>
      <c r="O177" s="297">
        <v>0</v>
      </c>
      <c r="P177" s="297">
        <v>0</v>
      </c>
      <c r="Q177" s="297">
        <v>0</v>
      </c>
      <c r="R177" s="297">
        <f t="shared" si="24"/>
        <v>1522380.2</v>
      </c>
      <c r="S177" s="297">
        <f t="shared" si="25"/>
        <v>3257.124946512623</v>
      </c>
      <c r="T177" s="297">
        <v>4503.95</v>
      </c>
      <c r="U177" s="46" t="s">
        <v>225</v>
      </c>
    </row>
    <row r="178" spans="1:21" ht="9" hidden="1" customHeight="1">
      <c r="A178" s="294">
        <v>151</v>
      </c>
      <c r="B178" s="81" t="s">
        <v>264</v>
      </c>
      <c r="C178" s="284" t="s">
        <v>998</v>
      </c>
      <c r="D178" s="284"/>
      <c r="E178" s="294">
        <v>1962</v>
      </c>
      <c r="F178" s="294"/>
      <c r="G178" s="294" t="s">
        <v>87</v>
      </c>
      <c r="H178" s="294">
        <v>2</v>
      </c>
      <c r="I178" s="294">
        <v>1</v>
      </c>
      <c r="J178" s="297">
        <v>262.7</v>
      </c>
      <c r="K178" s="297">
        <v>256.97000000000003</v>
      </c>
      <c r="L178" s="297">
        <v>256.97000000000003</v>
      </c>
      <c r="M178" s="294">
        <v>13</v>
      </c>
      <c r="N178" s="72">
        <f>'Приложение 2'!E181</f>
        <v>917488.63</v>
      </c>
      <c r="O178" s="297">
        <v>0</v>
      </c>
      <c r="P178" s="297">
        <v>0</v>
      </c>
      <c r="Q178" s="297">
        <v>0</v>
      </c>
      <c r="R178" s="297">
        <f t="shared" si="24"/>
        <v>917488.63</v>
      </c>
      <c r="S178" s="297">
        <f t="shared" si="25"/>
        <v>3570.4114488072532</v>
      </c>
      <c r="T178" s="297">
        <v>4503.95</v>
      </c>
      <c r="U178" s="46" t="s">
        <v>225</v>
      </c>
    </row>
    <row r="179" spans="1:21" ht="30" hidden="1" customHeight="1">
      <c r="A179" s="510" t="s">
        <v>437</v>
      </c>
      <c r="B179" s="511"/>
      <c r="C179" s="284"/>
      <c r="D179" s="284"/>
      <c r="E179" s="294" t="s">
        <v>387</v>
      </c>
      <c r="F179" s="294" t="s">
        <v>387</v>
      </c>
      <c r="G179" s="294" t="s">
        <v>387</v>
      </c>
      <c r="H179" s="294" t="s">
        <v>387</v>
      </c>
      <c r="I179" s="294" t="s">
        <v>387</v>
      </c>
      <c r="J179" s="297">
        <f t="shared" ref="J179:R179" si="26">SUM(J175:J178)</f>
        <v>1662.14</v>
      </c>
      <c r="K179" s="297">
        <f t="shared" si="26"/>
        <v>1556.47</v>
      </c>
      <c r="L179" s="297">
        <f t="shared" si="26"/>
        <v>1556.47</v>
      </c>
      <c r="M179" s="44">
        <f t="shared" si="26"/>
        <v>66</v>
      </c>
      <c r="N179" s="297">
        <f t="shared" si="26"/>
        <v>4700387.95</v>
      </c>
      <c r="O179" s="297">
        <f t="shared" si="26"/>
        <v>0</v>
      </c>
      <c r="P179" s="297">
        <f t="shared" si="26"/>
        <v>0</v>
      </c>
      <c r="Q179" s="297">
        <f t="shared" si="26"/>
        <v>0</v>
      </c>
      <c r="R179" s="297">
        <f t="shared" si="26"/>
        <v>4700387.95</v>
      </c>
      <c r="S179" s="297">
        <f>N179/K179</f>
        <v>3019.9026964862801</v>
      </c>
      <c r="T179" s="297"/>
      <c r="U179" s="46"/>
    </row>
    <row r="180" spans="1:21" ht="9" hidden="1" customHeight="1">
      <c r="A180" s="519" t="s">
        <v>436</v>
      </c>
      <c r="B180" s="520"/>
      <c r="C180" s="520"/>
      <c r="D180" s="520"/>
      <c r="E180" s="520"/>
      <c r="F180" s="520"/>
      <c r="G180" s="520"/>
      <c r="H180" s="520"/>
      <c r="I180" s="520"/>
      <c r="J180" s="520"/>
      <c r="K180" s="520"/>
      <c r="L180" s="520"/>
      <c r="M180" s="520"/>
      <c r="N180" s="520"/>
      <c r="O180" s="520"/>
      <c r="P180" s="520"/>
      <c r="Q180" s="520"/>
      <c r="R180" s="520"/>
      <c r="S180" s="520"/>
      <c r="T180" s="520"/>
      <c r="U180" s="521"/>
    </row>
    <row r="181" spans="1:21" ht="9" hidden="1" customHeight="1">
      <c r="A181" s="294">
        <v>152</v>
      </c>
      <c r="B181" s="68" t="s">
        <v>266</v>
      </c>
      <c r="C181" s="285" t="s">
        <v>998</v>
      </c>
      <c r="D181" s="285"/>
      <c r="E181" s="294">
        <v>1950</v>
      </c>
      <c r="F181" s="294"/>
      <c r="G181" s="294" t="s">
        <v>87</v>
      </c>
      <c r="H181" s="294">
        <v>2</v>
      </c>
      <c r="I181" s="294">
        <v>2</v>
      </c>
      <c r="J181" s="297">
        <v>427.5</v>
      </c>
      <c r="K181" s="297">
        <v>400.3</v>
      </c>
      <c r="L181" s="297">
        <v>264</v>
      </c>
      <c r="M181" s="294">
        <v>26</v>
      </c>
      <c r="N181" s="72">
        <f>'Приложение 2'!E184</f>
        <v>1376215.27</v>
      </c>
      <c r="O181" s="297">
        <v>0</v>
      </c>
      <c r="P181" s="297">
        <v>0</v>
      </c>
      <c r="Q181" s="297">
        <v>0</v>
      </c>
      <c r="R181" s="297">
        <f>N181</f>
        <v>1376215.27</v>
      </c>
      <c r="S181" s="297">
        <f>N181/K181</f>
        <v>3437.9597052210843</v>
      </c>
      <c r="T181" s="297">
        <v>4503.95</v>
      </c>
      <c r="U181" s="46" t="s">
        <v>225</v>
      </c>
    </row>
    <row r="182" spans="1:21" ht="32.25" hidden="1" customHeight="1">
      <c r="A182" s="510" t="s">
        <v>435</v>
      </c>
      <c r="B182" s="511"/>
      <c r="C182" s="284"/>
      <c r="D182" s="284"/>
      <c r="E182" s="294" t="s">
        <v>387</v>
      </c>
      <c r="F182" s="294" t="s">
        <v>387</v>
      </c>
      <c r="G182" s="294" t="s">
        <v>387</v>
      </c>
      <c r="H182" s="294" t="s">
        <v>387</v>
      </c>
      <c r="I182" s="294" t="s">
        <v>387</v>
      </c>
      <c r="J182" s="297">
        <f>J181</f>
        <v>427.5</v>
      </c>
      <c r="K182" s="297">
        <f>K181</f>
        <v>400.3</v>
      </c>
      <c r="L182" s="297">
        <f>L181</f>
        <v>264</v>
      </c>
      <c r="M182" s="294">
        <f>M181</f>
        <v>26</v>
      </c>
      <c r="N182" s="297">
        <f>N181</f>
        <v>1376215.27</v>
      </c>
      <c r="O182" s="297">
        <v>0</v>
      </c>
      <c r="P182" s="297">
        <v>0</v>
      </c>
      <c r="Q182" s="297">
        <v>0</v>
      </c>
      <c r="R182" s="297">
        <f>R181</f>
        <v>1376215.27</v>
      </c>
      <c r="S182" s="297">
        <f>N182/K182</f>
        <v>3437.9597052210843</v>
      </c>
      <c r="T182" s="297"/>
      <c r="U182" s="46"/>
    </row>
    <row r="183" spans="1:21" ht="12" hidden="1" customHeight="1">
      <c r="A183" s="502" t="s">
        <v>391</v>
      </c>
      <c r="B183" s="502"/>
      <c r="C183" s="502"/>
      <c r="D183" s="502"/>
      <c r="E183" s="502"/>
      <c r="F183" s="502"/>
      <c r="G183" s="502"/>
      <c r="H183" s="502"/>
      <c r="I183" s="502"/>
      <c r="J183" s="502"/>
      <c r="K183" s="502"/>
      <c r="L183" s="502"/>
      <c r="M183" s="502"/>
      <c r="N183" s="502"/>
      <c r="O183" s="502"/>
      <c r="P183" s="502"/>
      <c r="Q183" s="502"/>
      <c r="R183" s="502"/>
      <c r="S183" s="502"/>
      <c r="T183" s="502"/>
      <c r="U183" s="502"/>
    </row>
    <row r="184" spans="1:21" ht="9" hidden="1" customHeight="1">
      <c r="A184" s="294">
        <v>153</v>
      </c>
      <c r="B184" s="68" t="s">
        <v>269</v>
      </c>
      <c r="C184" s="285" t="s">
        <v>997</v>
      </c>
      <c r="D184" s="285"/>
      <c r="E184" s="294">
        <v>1979</v>
      </c>
      <c r="F184" s="294"/>
      <c r="G184" s="294" t="s">
        <v>87</v>
      </c>
      <c r="H184" s="294">
        <v>3</v>
      </c>
      <c r="I184" s="294">
        <v>3</v>
      </c>
      <c r="J184" s="297">
        <v>2583.8000000000002</v>
      </c>
      <c r="K184" s="297">
        <v>1834.5</v>
      </c>
      <c r="L184" s="297">
        <v>1518.2</v>
      </c>
      <c r="M184" s="44">
        <v>89</v>
      </c>
      <c r="N184" s="297">
        <f>'Приложение 2'!E187</f>
        <v>3195550.56</v>
      </c>
      <c r="O184" s="297">
        <v>0</v>
      </c>
      <c r="P184" s="297">
        <v>0</v>
      </c>
      <c r="Q184" s="297">
        <v>0</v>
      </c>
      <c r="R184" s="297">
        <f>N184-Q184</f>
        <v>3195550.56</v>
      </c>
      <c r="S184" s="297">
        <f t="shared" ref="S184:S190" si="27">N184/K184</f>
        <v>1741.9190842191333</v>
      </c>
      <c r="T184" s="297">
        <v>4180</v>
      </c>
      <c r="U184" s="46" t="s">
        <v>225</v>
      </c>
    </row>
    <row r="185" spans="1:21" ht="9" hidden="1" customHeight="1">
      <c r="A185" s="294">
        <v>154</v>
      </c>
      <c r="B185" s="68" t="s">
        <v>270</v>
      </c>
      <c r="C185" s="285" t="s">
        <v>998</v>
      </c>
      <c r="D185" s="285"/>
      <c r="E185" s="294">
        <v>1964</v>
      </c>
      <c r="F185" s="294"/>
      <c r="G185" s="294" t="s">
        <v>87</v>
      </c>
      <c r="H185" s="294">
        <v>2</v>
      </c>
      <c r="I185" s="294">
        <v>3</v>
      </c>
      <c r="J185" s="297">
        <v>582.20000000000005</v>
      </c>
      <c r="K185" s="297">
        <v>503.4</v>
      </c>
      <c r="L185" s="297">
        <v>428</v>
      </c>
      <c r="M185" s="44">
        <v>24</v>
      </c>
      <c r="N185" s="297">
        <f>'Приложение 2'!E188</f>
        <v>1695759.88</v>
      </c>
      <c r="O185" s="297">
        <v>0</v>
      </c>
      <c r="P185" s="297">
        <v>0</v>
      </c>
      <c r="Q185" s="297">
        <v>0</v>
      </c>
      <c r="R185" s="297">
        <f t="shared" ref="R185:R190" si="28">N185-Q185</f>
        <v>1695759.88</v>
      </c>
      <c r="S185" s="297">
        <f t="shared" si="27"/>
        <v>3368.6131903059195</v>
      </c>
      <c r="T185" s="297">
        <v>4503.95</v>
      </c>
      <c r="U185" s="46" t="s">
        <v>225</v>
      </c>
    </row>
    <row r="186" spans="1:21" ht="9" hidden="1" customHeight="1">
      <c r="A186" s="294">
        <v>155</v>
      </c>
      <c r="B186" s="68" t="s">
        <v>271</v>
      </c>
      <c r="C186" s="285" t="s">
        <v>997</v>
      </c>
      <c r="D186" s="285"/>
      <c r="E186" s="294">
        <v>1985</v>
      </c>
      <c r="F186" s="294"/>
      <c r="G186" s="294" t="s">
        <v>89</v>
      </c>
      <c r="H186" s="294">
        <v>4</v>
      </c>
      <c r="I186" s="294">
        <v>2</v>
      </c>
      <c r="J186" s="297">
        <v>945.6</v>
      </c>
      <c r="K186" s="297">
        <v>849.3</v>
      </c>
      <c r="L186" s="297">
        <v>777.9</v>
      </c>
      <c r="M186" s="44">
        <v>51</v>
      </c>
      <c r="N186" s="297">
        <f>'Приложение 2'!E189</f>
        <v>1321918.93</v>
      </c>
      <c r="O186" s="297">
        <v>0</v>
      </c>
      <c r="P186" s="297">
        <v>0</v>
      </c>
      <c r="Q186" s="297">
        <v>0</v>
      </c>
      <c r="R186" s="297">
        <f t="shared" si="28"/>
        <v>1321918.93</v>
      </c>
      <c r="S186" s="297">
        <f t="shared" si="27"/>
        <v>1556.4805486871542</v>
      </c>
      <c r="T186" s="297">
        <f>IF('Приложение 2'!J189="скатная",3605.25,4180)</f>
        <v>4180</v>
      </c>
      <c r="U186" s="46" t="s">
        <v>225</v>
      </c>
    </row>
    <row r="187" spans="1:21" ht="9" hidden="1" customHeight="1">
      <c r="A187" s="294">
        <v>156</v>
      </c>
      <c r="B187" s="68" t="s">
        <v>272</v>
      </c>
      <c r="C187" s="285" t="s">
        <v>997</v>
      </c>
      <c r="D187" s="285"/>
      <c r="E187" s="294">
        <v>1992</v>
      </c>
      <c r="F187" s="294"/>
      <c r="G187" s="294" t="s">
        <v>89</v>
      </c>
      <c r="H187" s="294">
        <v>3</v>
      </c>
      <c r="I187" s="294">
        <v>2</v>
      </c>
      <c r="J187" s="297">
        <v>936.1</v>
      </c>
      <c r="K187" s="297">
        <v>864.6</v>
      </c>
      <c r="L187" s="297">
        <v>813.38</v>
      </c>
      <c r="M187" s="44">
        <v>41</v>
      </c>
      <c r="N187" s="297">
        <f>'Приложение 2'!E190</f>
        <v>1316234.7</v>
      </c>
      <c r="O187" s="297">
        <v>0</v>
      </c>
      <c r="P187" s="297">
        <v>0</v>
      </c>
      <c r="Q187" s="297">
        <v>0</v>
      </c>
      <c r="R187" s="297">
        <f t="shared" si="28"/>
        <v>1316234.7</v>
      </c>
      <c r="S187" s="297">
        <f t="shared" si="27"/>
        <v>1522.3625954198471</v>
      </c>
      <c r="T187" s="297">
        <v>4180</v>
      </c>
      <c r="U187" s="46" t="s">
        <v>225</v>
      </c>
    </row>
    <row r="188" spans="1:21" ht="9" hidden="1" customHeight="1">
      <c r="A188" s="294">
        <v>157</v>
      </c>
      <c r="B188" s="68" t="s">
        <v>273</v>
      </c>
      <c r="C188" s="285" t="s">
        <v>997</v>
      </c>
      <c r="D188" s="285"/>
      <c r="E188" s="294">
        <v>1991</v>
      </c>
      <c r="F188" s="294"/>
      <c r="G188" s="294" t="s">
        <v>87</v>
      </c>
      <c r="H188" s="294">
        <v>4</v>
      </c>
      <c r="I188" s="294">
        <v>1</v>
      </c>
      <c r="J188" s="297">
        <v>605.5</v>
      </c>
      <c r="K188" s="297">
        <v>557.4</v>
      </c>
      <c r="L188" s="297">
        <v>490.9</v>
      </c>
      <c r="M188" s="44">
        <v>18</v>
      </c>
      <c r="N188" s="297">
        <f>'Приложение 2'!E191</f>
        <v>763718</v>
      </c>
      <c r="O188" s="297">
        <v>0</v>
      </c>
      <c r="P188" s="297">
        <v>0</v>
      </c>
      <c r="Q188" s="297">
        <v>0</v>
      </c>
      <c r="R188" s="297">
        <f t="shared" si="28"/>
        <v>763718</v>
      </c>
      <c r="S188" s="297">
        <f t="shared" si="27"/>
        <v>1370.1435235019735</v>
      </c>
      <c r="T188" s="297">
        <v>4180</v>
      </c>
      <c r="U188" s="46" t="s">
        <v>225</v>
      </c>
    </row>
    <row r="189" spans="1:21" ht="9" hidden="1" customHeight="1">
      <c r="A189" s="294">
        <v>158</v>
      </c>
      <c r="B189" s="68" t="s">
        <v>274</v>
      </c>
      <c r="C189" s="285" t="s">
        <v>997</v>
      </c>
      <c r="D189" s="285"/>
      <c r="E189" s="294">
        <v>1983</v>
      </c>
      <c r="F189" s="294"/>
      <c r="G189" s="294" t="s">
        <v>87</v>
      </c>
      <c r="H189" s="294">
        <v>4</v>
      </c>
      <c r="I189" s="294">
        <v>1</v>
      </c>
      <c r="J189" s="297">
        <v>615.5</v>
      </c>
      <c r="K189" s="297">
        <v>568.29999999999995</v>
      </c>
      <c r="L189" s="297">
        <v>416.3</v>
      </c>
      <c r="M189" s="44">
        <v>24</v>
      </c>
      <c r="N189" s="297">
        <f>'Приложение 2'!E192</f>
        <v>819383.91</v>
      </c>
      <c r="O189" s="297">
        <v>0</v>
      </c>
      <c r="P189" s="297">
        <v>0</v>
      </c>
      <c r="Q189" s="297">
        <v>0</v>
      </c>
      <c r="R189" s="297">
        <f t="shared" si="28"/>
        <v>819383.91</v>
      </c>
      <c r="S189" s="297">
        <f t="shared" si="27"/>
        <v>1441.8157839169455</v>
      </c>
      <c r="T189" s="297">
        <v>4180</v>
      </c>
      <c r="U189" s="46" t="s">
        <v>225</v>
      </c>
    </row>
    <row r="190" spans="1:21" ht="9" hidden="1" customHeight="1">
      <c r="A190" s="294">
        <v>159</v>
      </c>
      <c r="B190" s="68" t="s">
        <v>275</v>
      </c>
      <c r="C190" s="285" t="s">
        <v>998</v>
      </c>
      <c r="D190" s="285"/>
      <c r="E190" s="294">
        <v>1976</v>
      </c>
      <c r="F190" s="294"/>
      <c r="G190" s="294" t="s">
        <v>87</v>
      </c>
      <c r="H190" s="294">
        <v>2</v>
      </c>
      <c r="I190" s="294">
        <v>2</v>
      </c>
      <c r="J190" s="297">
        <v>643.20000000000005</v>
      </c>
      <c r="K190" s="297">
        <v>601.70000000000005</v>
      </c>
      <c r="L190" s="297">
        <v>544.15</v>
      </c>
      <c r="M190" s="44">
        <v>27</v>
      </c>
      <c r="N190" s="297">
        <f>'Приложение 2'!E193</f>
        <v>1665435.7</v>
      </c>
      <c r="O190" s="297">
        <v>0</v>
      </c>
      <c r="P190" s="297">
        <v>0</v>
      </c>
      <c r="Q190" s="297">
        <v>0</v>
      </c>
      <c r="R190" s="297">
        <f t="shared" si="28"/>
        <v>1665435.7</v>
      </c>
      <c r="S190" s="297">
        <f t="shared" si="27"/>
        <v>2767.8838291507391</v>
      </c>
      <c r="T190" s="297">
        <v>4503.95</v>
      </c>
      <c r="U190" s="46" t="s">
        <v>225</v>
      </c>
    </row>
    <row r="191" spans="1:21" ht="9" hidden="1" customHeight="1">
      <c r="A191" s="294">
        <v>160</v>
      </c>
      <c r="B191" s="68" t="s">
        <v>276</v>
      </c>
      <c r="C191" s="285" t="s">
        <v>998</v>
      </c>
      <c r="D191" s="285"/>
      <c r="E191" s="294">
        <v>1964</v>
      </c>
      <c r="F191" s="294"/>
      <c r="G191" s="294" t="s">
        <v>87</v>
      </c>
      <c r="H191" s="294">
        <v>3</v>
      </c>
      <c r="I191" s="294">
        <v>2</v>
      </c>
      <c r="J191" s="297">
        <v>1014</v>
      </c>
      <c r="K191" s="297">
        <v>966.7</v>
      </c>
      <c r="L191" s="297">
        <v>935.7</v>
      </c>
      <c r="M191" s="44">
        <v>51</v>
      </c>
      <c r="N191" s="297">
        <f>'Приложение 2'!E194</f>
        <v>1784649.94</v>
      </c>
      <c r="O191" s="297">
        <v>0</v>
      </c>
      <c r="P191" s="297">
        <v>0</v>
      </c>
      <c r="Q191" s="297">
        <v>0</v>
      </c>
      <c r="R191" s="297">
        <f t="shared" ref="R191:R198" si="29">N191-Q191</f>
        <v>1784649.94</v>
      </c>
      <c r="S191" s="297">
        <f t="shared" ref="S191:S198" si="30">N191/K191</f>
        <v>1846.1259335884968</v>
      </c>
      <c r="T191" s="297">
        <v>4503.95</v>
      </c>
      <c r="U191" s="46" t="s">
        <v>225</v>
      </c>
    </row>
    <row r="192" spans="1:21" ht="9" hidden="1" customHeight="1">
      <c r="A192" s="294">
        <v>161</v>
      </c>
      <c r="B192" s="68" t="s">
        <v>277</v>
      </c>
      <c r="C192" s="285" t="s">
        <v>997</v>
      </c>
      <c r="D192" s="285"/>
      <c r="E192" s="294">
        <v>1977</v>
      </c>
      <c r="F192" s="294"/>
      <c r="G192" s="294" t="s">
        <v>89</v>
      </c>
      <c r="H192" s="294">
        <v>2</v>
      </c>
      <c r="I192" s="294">
        <v>2</v>
      </c>
      <c r="J192" s="297">
        <v>1266.9000000000001</v>
      </c>
      <c r="K192" s="297">
        <v>741.9</v>
      </c>
      <c r="L192" s="297">
        <v>741.9</v>
      </c>
      <c r="M192" s="44">
        <v>35</v>
      </c>
      <c r="N192" s="297">
        <f>'Приложение 2'!E195</f>
        <v>1623962.44</v>
      </c>
      <c r="O192" s="297">
        <v>0</v>
      </c>
      <c r="P192" s="297">
        <v>0</v>
      </c>
      <c r="Q192" s="297">
        <v>0</v>
      </c>
      <c r="R192" s="297">
        <f t="shared" si="29"/>
        <v>1623962.44</v>
      </c>
      <c r="S192" s="297">
        <f t="shared" si="30"/>
        <v>2188.9236285213642</v>
      </c>
      <c r="T192" s="297">
        <v>4180</v>
      </c>
      <c r="U192" s="46" t="s">
        <v>225</v>
      </c>
    </row>
    <row r="193" spans="1:21" ht="9" hidden="1" customHeight="1">
      <c r="A193" s="294">
        <v>162</v>
      </c>
      <c r="B193" s="68" t="s">
        <v>367</v>
      </c>
      <c r="C193" s="285" t="s">
        <v>998</v>
      </c>
      <c r="D193" s="285"/>
      <c r="E193" s="294">
        <v>1980</v>
      </c>
      <c r="F193" s="294"/>
      <c r="G193" s="294" t="s">
        <v>87</v>
      </c>
      <c r="H193" s="294">
        <v>2</v>
      </c>
      <c r="I193" s="294">
        <v>3</v>
      </c>
      <c r="J193" s="297">
        <v>1333.2</v>
      </c>
      <c r="K193" s="297">
        <v>914.8</v>
      </c>
      <c r="L193" s="297">
        <v>507.3</v>
      </c>
      <c r="M193" s="44">
        <v>48</v>
      </c>
      <c r="N193" s="297">
        <f>'Приложение 2'!E196</f>
        <v>2069920.05</v>
      </c>
      <c r="O193" s="297">
        <v>0</v>
      </c>
      <c r="P193" s="297">
        <v>0</v>
      </c>
      <c r="Q193" s="297">
        <v>0</v>
      </c>
      <c r="R193" s="297">
        <f t="shared" si="29"/>
        <v>2069920.05</v>
      </c>
      <c r="S193" s="297">
        <f t="shared" si="30"/>
        <v>2262.7022846523832</v>
      </c>
      <c r="T193" s="297">
        <v>4503.95</v>
      </c>
      <c r="U193" s="46" t="s">
        <v>225</v>
      </c>
    </row>
    <row r="194" spans="1:21" ht="9" hidden="1" customHeight="1">
      <c r="A194" s="294">
        <v>163</v>
      </c>
      <c r="B194" s="68" t="s">
        <v>278</v>
      </c>
      <c r="C194" s="285" t="s">
        <v>997</v>
      </c>
      <c r="D194" s="285"/>
      <c r="E194" s="294">
        <v>1987</v>
      </c>
      <c r="F194" s="294"/>
      <c r="G194" s="294" t="s">
        <v>87</v>
      </c>
      <c r="H194" s="294">
        <v>3</v>
      </c>
      <c r="I194" s="294">
        <v>1</v>
      </c>
      <c r="J194" s="297">
        <v>1066.7</v>
      </c>
      <c r="K194" s="297">
        <v>914.6</v>
      </c>
      <c r="L194" s="297">
        <v>914.6</v>
      </c>
      <c r="M194" s="44">
        <v>35</v>
      </c>
      <c r="N194" s="297">
        <f>'Приложение 2'!E197</f>
        <v>1871195.32</v>
      </c>
      <c r="O194" s="297">
        <v>0</v>
      </c>
      <c r="P194" s="297">
        <v>0</v>
      </c>
      <c r="Q194" s="297">
        <v>0</v>
      </c>
      <c r="R194" s="297">
        <f t="shared" si="29"/>
        <v>1871195.32</v>
      </c>
      <c r="S194" s="297">
        <f t="shared" si="30"/>
        <v>2045.9165974196371</v>
      </c>
      <c r="T194" s="297">
        <v>4180</v>
      </c>
      <c r="U194" s="46" t="s">
        <v>225</v>
      </c>
    </row>
    <row r="195" spans="1:21" ht="9" hidden="1" customHeight="1">
      <c r="A195" s="294">
        <v>164</v>
      </c>
      <c r="B195" s="68" t="s">
        <v>279</v>
      </c>
      <c r="C195" s="285" t="s">
        <v>998</v>
      </c>
      <c r="D195" s="285"/>
      <c r="E195" s="294">
        <v>1975</v>
      </c>
      <c r="F195" s="294"/>
      <c r="G195" s="294" t="s">
        <v>87</v>
      </c>
      <c r="H195" s="294">
        <v>2</v>
      </c>
      <c r="I195" s="294">
        <v>2</v>
      </c>
      <c r="J195" s="297">
        <v>818.9</v>
      </c>
      <c r="K195" s="297">
        <v>739.89</v>
      </c>
      <c r="L195" s="297">
        <v>619.91</v>
      </c>
      <c r="M195" s="44">
        <v>36</v>
      </c>
      <c r="N195" s="297">
        <f>'Приложение 2'!E198</f>
        <v>1858393.84</v>
      </c>
      <c r="O195" s="297">
        <v>0</v>
      </c>
      <c r="P195" s="297">
        <v>0</v>
      </c>
      <c r="Q195" s="297">
        <v>0</v>
      </c>
      <c r="R195" s="297">
        <f t="shared" si="29"/>
        <v>1858393.84</v>
      </c>
      <c r="S195" s="297">
        <f t="shared" si="30"/>
        <v>2511.71639027423</v>
      </c>
      <c r="T195" s="297">
        <f>IF('Приложение 2'!J190="скатная",3605.25,4180)</f>
        <v>4180</v>
      </c>
      <c r="U195" s="46" t="s">
        <v>225</v>
      </c>
    </row>
    <row r="196" spans="1:21" ht="9" hidden="1" customHeight="1">
      <c r="A196" s="294">
        <v>165</v>
      </c>
      <c r="B196" s="68" t="s">
        <v>280</v>
      </c>
      <c r="C196" s="285" t="s">
        <v>998</v>
      </c>
      <c r="D196" s="285"/>
      <c r="E196" s="294">
        <v>1976</v>
      </c>
      <c r="F196" s="294"/>
      <c r="G196" s="294" t="s">
        <v>87</v>
      </c>
      <c r="H196" s="294">
        <v>2</v>
      </c>
      <c r="I196" s="294">
        <v>3</v>
      </c>
      <c r="J196" s="297">
        <v>1010.1</v>
      </c>
      <c r="K196" s="297">
        <v>902.16</v>
      </c>
      <c r="L196" s="297">
        <v>779.96</v>
      </c>
      <c r="M196" s="44">
        <v>50</v>
      </c>
      <c r="N196" s="297">
        <f>'Приложение 2'!E199</f>
        <v>1992782.87</v>
      </c>
      <c r="O196" s="297">
        <v>0</v>
      </c>
      <c r="P196" s="297">
        <v>0</v>
      </c>
      <c r="Q196" s="297">
        <v>0</v>
      </c>
      <c r="R196" s="297">
        <f t="shared" si="29"/>
        <v>1992782.87</v>
      </c>
      <c r="S196" s="297">
        <f t="shared" si="30"/>
        <v>2208.9018245100651</v>
      </c>
      <c r="T196" s="297">
        <v>4503.95</v>
      </c>
      <c r="U196" s="46" t="s">
        <v>225</v>
      </c>
    </row>
    <row r="197" spans="1:21" ht="9" hidden="1" customHeight="1">
      <c r="A197" s="294">
        <v>166</v>
      </c>
      <c r="B197" s="68" t="s">
        <v>281</v>
      </c>
      <c r="C197" s="285" t="s">
        <v>998</v>
      </c>
      <c r="D197" s="285"/>
      <c r="E197" s="294">
        <v>1977</v>
      </c>
      <c r="F197" s="294"/>
      <c r="G197" s="294" t="s">
        <v>87</v>
      </c>
      <c r="H197" s="294">
        <v>2</v>
      </c>
      <c r="I197" s="294">
        <v>1</v>
      </c>
      <c r="J197" s="297">
        <v>421.1</v>
      </c>
      <c r="K197" s="297">
        <v>381.1</v>
      </c>
      <c r="L197" s="297">
        <v>381.1</v>
      </c>
      <c r="M197" s="44">
        <v>11</v>
      </c>
      <c r="N197" s="297">
        <f>'Приложение 2'!E200</f>
        <v>1018363.49</v>
      </c>
      <c r="O197" s="297">
        <v>0</v>
      </c>
      <c r="P197" s="297">
        <v>0</v>
      </c>
      <c r="Q197" s="297">
        <v>0</v>
      </c>
      <c r="R197" s="297">
        <f t="shared" si="29"/>
        <v>1018363.49</v>
      </c>
      <c r="S197" s="297">
        <f t="shared" si="30"/>
        <v>2672.1686958803461</v>
      </c>
      <c r="T197" s="297">
        <v>4503.95</v>
      </c>
      <c r="U197" s="46" t="s">
        <v>225</v>
      </c>
    </row>
    <row r="198" spans="1:21" ht="9" hidden="1" customHeight="1">
      <c r="A198" s="294">
        <v>167</v>
      </c>
      <c r="B198" s="68" t="s">
        <v>282</v>
      </c>
      <c r="C198" s="285" t="s">
        <v>998</v>
      </c>
      <c r="D198" s="285"/>
      <c r="E198" s="294">
        <v>1971</v>
      </c>
      <c r="F198" s="294"/>
      <c r="G198" s="294" t="s">
        <v>87</v>
      </c>
      <c r="H198" s="294">
        <v>2</v>
      </c>
      <c r="I198" s="294">
        <v>1</v>
      </c>
      <c r="J198" s="297">
        <v>301.2</v>
      </c>
      <c r="K198" s="297">
        <v>258</v>
      </c>
      <c r="L198" s="297">
        <v>258</v>
      </c>
      <c r="M198" s="44">
        <v>17</v>
      </c>
      <c r="N198" s="297">
        <f>'Приложение 2'!E201</f>
        <v>658998.68000000005</v>
      </c>
      <c r="O198" s="297">
        <v>0</v>
      </c>
      <c r="P198" s="297">
        <v>0</v>
      </c>
      <c r="Q198" s="297">
        <v>0</v>
      </c>
      <c r="R198" s="297">
        <f t="shared" si="29"/>
        <v>658998.68000000005</v>
      </c>
      <c r="S198" s="297">
        <f t="shared" si="30"/>
        <v>2554.2584496124032</v>
      </c>
      <c r="T198" s="297">
        <v>4503.95</v>
      </c>
      <c r="U198" s="46" t="s">
        <v>225</v>
      </c>
    </row>
    <row r="199" spans="1:21" ht="22.5" hidden="1" customHeight="1">
      <c r="A199" s="503" t="s">
        <v>268</v>
      </c>
      <c r="B199" s="503"/>
      <c r="C199" s="285"/>
      <c r="D199" s="285"/>
      <c r="E199" s="54" t="s">
        <v>387</v>
      </c>
      <c r="F199" s="54" t="s">
        <v>387</v>
      </c>
      <c r="G199" s="54" t="s">
        <v>387</v>
      </c>
      <c r="H199" s="54" t="s">
        <v>387</v>
      </c>
      <c r="I199" s="54" t="s">
        <v>387</v>
      </c>
      <c r="J199" s="297">
        <f t="shared" ref="J199:R199" si="31">SUM(J184:J198)</f>
        <v>14144.000000000004</v>
      </c>
      <c r="K199" s="297">
        <f t="shared" si="31"/>
        <v>11598.349999999999</v>
      </c>
      <c r="L199" s="297">
        <f t="shared" si="31"/>
        <v>10127.300000000001</v>
      </c>
      <c r="M199" s="44">
        <f t="shared" si="31"/>
        <v>557</v>
      </c>
      <c r="N199" s="297">
        <f t="shared" si="31"/>
        <v>23656268.309999995</v>
      </c>
      <c r="O199" s="297">
        <f t="shared" si="31"/>
        <v>0</v>
      </c>
      <c r="P199" s="297">
        <f t="shared" si="31"/>
        <v>0</v>
      </c>
      <c r="Q199" s="297">
        <f t="shared" si="31"/>
        <v>0</v>
      </c>
      <c r="R199" s="297">
        <f t="shared" si="31"/>
        <v>23656268.309999995</v>
      </c>
      <c r="S199" s="297">
        <f>N199/K199</f>
        <v>2039.6235938732664</v>
      </c>
      <c r="T199" s="294"/>
      <c r="U199" s="46"/>
    </row>
    <row r="200" spans="1:21" ht="12.75" hidden="1" customHeight="1">
      <c r="A200" s="514" t="s">
        <v>441</v>
      </c>
      <c r="B200" s="515"/>
      <c r="C200" s="515"/>
      <c r="D200" s="515"/>
      <c r="E200" s="515"/>
      <c r="F200" s="515"/>
      <c r="G200" s="515"/>
      <c r="H200" s="515"/>
      <c r="I200" s="515"/>
      <c r="J200" s="515"/>
      <c r="K200" s="515"/>
      <c r="L200" s="515"/>
      <c r="M200" s="515"/>
      <c r="N200" s="515"/>
      <c r="O200" s="515"/>
      <c r="P200" s="515"/>
      <c r="Q200" s="515"/>
      <c r="R200" s="515"/>
      <c r="S200" s="515"/>
      <c r="T200" s="515"/>
      <c r="U200" s="516"/>
    </row>
    <row r="201" spans="1:21" ht="9" hidden="1" customHeight="1">
      <c r="A201" s="78">
        <v>168</v>
      </c>
      <c r="B201" s="82" t="s">
        <v>283</v>
      </c>
      <c r="C201" s="287" t="s">
        <v>998</v>
      </c>
      <c r="D201" s="287"/>
      <c r="E201" s="78">
        <v>1979</v>
      </c>
      <c r="F201" s="78"/>
      <c r="G201" s="78" t="s">
        <v>87</v>
      </c>
      <c r="H201" s="78">
        <v>2</v>
      </c>
      <c r="I201" s="78">
        <v>3</v>
      </c>
      <c r="J201" s="79">
        <v>983.1</v>
      </c>
      <c r="K201" s="79">
        <v>867</v>
      </c>
      <c r="L201" s="79">
        <v>867</v>
      </c>
      <c r="M201" s="78">
        <v>49</v>
      </c>
      <c r="N201" s="79">
        <f>'Приложение 2'!E204</f>
        <v>2215999.62</v>
      </c>
      <c r="O201" s="79">
        <v>0</v>
      </c>
      <c r="P201" s="79">
        <v>0</v>
      </c>
      <c r="Q201" s="79">
        <v>0</v>
      </c>
      <c r="R201" s="79">
        <f>N201-Q201</f>
        <v>2215999.62</v>
      </c>
      <c r="S201" s="297">
        <f>N201/K201</f>
        <v>2555.9395847750866</v>
      </c>
      <c r="T201" s="297">
        <v>4503.95</v>
      </c>
      <c r="U201" s="46" t="s">
        <v>225</v>
      </c>
    </row>
    <row r="202" spans="1:21" ht="9" hidden="1" customHeight="1">
      <c r="A202" s="78">
        <v>169</v>
      </c>
      <c r="B202" s="82" t="s">
        <v>284</v>
      </c>
      <c r="C202" s="287" t="s">
        <v>997</v>
      </c>
      <c r="D202" s="287"/>
      <c r="E202" s="78">
        <v>1975</v>
      </c>
      <c r="F202" s="78"/>
      <c r="G202" s="78" t="s">
        <v>87</v>
      </c>
      <c r="H202" s="78" t="s">
        <v>72</v>
      </c>
      <c r="I202" s="78">
        <v>2</v>
      </c>
      <c r="J202" s="79">
        <v>659.2</v>
      </c>
      <c r="K202" s="79">
        <v>580.20000000000005</v>
      </c>
      <c r="L202" s="79">
        <v>580.20000000000005</v>
      </c>
      <c r="M202" s="78">
        <v>24</v>
      </c>
      <c r="N202" s="79">
        <f>'Приложение 2'!E205</f>
        <v>1494546.33</v>
      </c>
      <c r="O202" s="79">
        <v>0</v>
      </c>
      <c r="P202" s="79">
        <v>0</v>
      </c>
      <c r="Q202" s="79">
        <v>0</v>
      </c>
      <c r="R202" s="79">
        <f>N202-Q202</f>
        <v>1494546.33</v>
      </c>
      <c r="S202" s="297">
        <f t="shared" ref="S202" si="32">N202/K202</f>
        <v>2575.9157704239915</v>
      </c>
      <c r="T202" s="297">
        <v>4180</v>
      </c>
      <c r="U202" s="46" t="s">
        <v>225</v>
      </c>
    </row>
    <row r="203" spans="1:21" ht="24.75" hidden="1" customHeight="1">
      <c r="A203" s="512" t="s">
        <v>442</v>
      </c>
      <c r="B203" s="513"/>
      <c r="C203" s="293"/>
      <c r="D203" s="293"/>
      <c r="E203" s="78" t="s">
        <v>387</v>
      </c>
      <c r="F203" s="78" t="s">
        <v>387</v>
      </c>
      <c r="G203" s="78" t="s">
        <v>387</v>
      </c>
      <c r="H203" s="78" t="s">
        <v>387</v>
      </c>
      <c r="I203" s="78" t="s">
        <v>387</v>
      </c>
      <c r="J203" s="79">
        <f t="shared" ref="J203:R203" si="33">SUM(J201:J202)</f>
        <v>1642.3000000000002</v>
      </c>
      <c r="K203" s="79">
        <f t="shared" si="33"/>
        <v>1447.2</v>
      </c>
      <c r="L203" s="79">
        <f t="shared" si="33"/>
        <v>1447.2</v>
      </c>
      <c r="M203" s="44">
        <f t="shared" si="33"/>
        <v>73</v>
      </c>
      <c r="N203" s="79">
        <f t="shared" si="33"/>
        <v>3710545.95</v>
      </c>
      <c r="O203" s="79">
        <f t="shared" si="33"/>
        <v>0</v>
      </c>
      <c r="P203" s="79">
        <f t="shared" si="33"/>
        <v>0</v>
      </c>
      <c r="Q203" s="79">
        <f t="shared" si="33"/>
        <v>0</v>
      </c>
      <c r="R203" s="79">
        <f t="shared" si="33"/>
        <v>3710545.95</v>
      </c>
      <c r="S203" s="297">
        <f>N203/K203</f>
        <v>2563.9482794361525</v>
      </c>
      <c r="T203" s="297"/>
      <c r="U203" s="78"/>
    </row>
    <row r="204" spans="1:21" s="83" customFormat="1" ht="12" hidden="1" customHeight="1">
      <c r="A204" s="504" t="s">
        <v>393</v>
      </c>
      <c r="B204" s="504"/>
      <c r="C204" s="504"/>
      <c r="D204" s="504"/>
      <c r="E204" s="504"/>
      <c r="F204" s="504"/>
      <c r="G204" s="504"/>
      <c r="H204" s="504"/>
      <c r="I204" s="504"/>
      <c r="J204" s="504"/>
      <c r="K204" s="504"/>
      <c r="L204" s="504"/>
      <c r="M204" s="504"/>
      <c r="N204" s="504"/>
      <c r="O204" s="504"/>
      <c r="P204" s="504"/>
      <c r="Q204" s="504"/>
      <c r="R204" s="504"/>
      <c r="S204" s="504"/>
      <c r="T204" s="504"/>
      <c r="U204" s="504"/>
    </row>
    <row r="205" spans="1:21" s="83" customFormat="1" ht="9" hidden="1" customHeight="1">
      <c r="A205" s="78">
        <v>170</v>
      </c>
      <c r="B205" s="287" t="s">
        <v>289</v>
      </c>
      <c r="C205" s="78" t="s">
        <v>998</v>
      </c>
      <c r="D205" s="78"/>
      <c r="E205" s="78">
        <v>1968</v>
      </c>
      <c r="F205" s="78"/>
      <c r="G205" s="78" t="s">
        <v>87</v>
      </c>
      <c r="H205" s="78">
        <v>2</v>
      </c>
      <c r="I205" s="78">
        <v>2</v>
      </c>
      <c r="J205" s="79">
        <v>828.7</v>
      </c>
      <c r="K205" s="79">
        <v>747.1</v>
      </c>
      <c r="L205" s="79">
        <v>747.1</v>
      </c>
      <c r="M205" s="78">
        <v>65</v>
      </c>
      <c r="N205" s="79">
        <f>'Приложение 2'!E208</f>
        <v>1919938.68</v>
      </c>
      <c r="O205" s="79">
        <v>0</v>
      </c>
      <c r="P205" s="79">
        <v>0</v>
      </c>
      <c r="Q205" s="79">
        <v>0</v>
      </c>
      <c r="R205" s="79">
        <f>N205-Q205</f>
        <v>1919938.68</v>
      </c>
      <c r="S205" s="297">
        <f t="shared" ref="S205" si="34">N205/K205</f>
        <v>2569.8550127158346</v>
      </c>
      <c r="T205" s="297">
        <v>4503.95</v>
      </c>
      <c r="U205" s="46" t="s">
        <v>225</v>
      </c>
    </row>
    <row r="206" spans="1:21" ht="21.75" hidden="1" customHeight="1">
      <c r="A206" s="547" t="s">
        <v>394</v>
      </c>
      <c r="B206" s="547"/>
      <c r="C206" s="84"/>
      <c r="D206" s="84"/>
      <c r="E206" s="84" t="s">
        <v>387</v>
      </c>
      <c r="F206" s="84" t="s">
        <v>387</v>
      </c>
      <c r="G206" s="84" t="s">
        <v>387</v>
      </c>
      <c r="H206" s="84" t="s">
        <v>387</v>
      </c>
      <c r="I206" s="84" t="s">
        <v>387</v>
      </c>
      <c r="J206" s="85">
        <f t="shared" ref="J206:P206" si="35">SUM(J205:J205)</f>
        <v>828.7</v>
      </c>
      <c r="K206" s="85">
        <f t="shared" si="35"/>
        <v>747.1</v>
      </c>
      <c r="L206" s="85">
        <f t="shared" si="35"/>
        <v>747.1</v>
      </c>
      <c r="M206" s="44">
        <f t="shared" si="35"/>
        <v>65</v>
      </c>
      <c r="N206" s="85">
        <f t="shared" si="35"/>
        <v>1919938.68</v>
      </c>
      <c r="O206" s="85">
        <f t="shared" si="35"/>
        <v>0</v>
      </c>
      <c r="P206" s="85">
        <f t="shared" si="35"/>
        <v>0</v>
      </c>
      <c r="Q206" s="85">
        <f>SUM(Q205:Q205)</f>
        <v>0</v>
      </c>
      <c r="R206" s="85">
        <f>SUM(R205:R205)</f>
        <v>1919938.68</v>
      </c>
      <c r="S206" s="74">
        <f>N206/K206</f>
        <v>2569.8550127158346</v>
      </c>
      <c r="T206" s="74"/>
      <c r="U206" s="84"/>
    </row>
    <row r="207" spans="1:21" ht="14.25" hidden="1" customHeight="1">
      <c r="A207" s="519" t="s">
        <v>438</v>
      </c>
      <c r="B207" s="520"/>
      <c r="C207" s="520"/>
      <c r="D207" s="520"/>
      <c r="E207" s="520"/>
      <c r="F207" s="520"/>
      <c r="G207" s="520"/>
      <c r="H207" s="520"/>
      <c r="I207" s="520"/>
      <c r="J207" s="520"/>
      <c r="K207" s="520"/>
      <c r="L207" s="520"/>
      <c r="M207" s="520"/>
      <c r="N207" s="520"/>
      <c r="O207" s="520"/>
      <c r="P207" s="520"/>
      <c r="Q207" s="520"/>
      <c r="R207" s="520"/>
      <c r="S207" s="520"/>
      <c r="T207" s="520"/>
      <c r="U207" s="521"/>
    </row>
    <row r="208" spans="1:21" ht="9" hidden="1" customHeight="1">
      <c r="A208" s="294">
        <v>171</v>
      </c>
      <c r="B208" s="68" t="s">
        <v>286</v>
      </c>
      <c r="C208" s="285" t="s">
        <v>1004</v>
      </c>
      <c r="D208" s="285"/>
      <c r="E208" s="294">
        <v>1983</v>
      </c>
      <c r="F208" s="294"/>
      <c r="G208" s="294" t="s">
        <v>87</v>
      </c>
      <c r="H208" s="294">
        <v>3</v>
      </c>
      <c r="I208" s="294">
        <v>3</v>
      </c>
      <c r="J208" s="297">
        <v>1670.6</v>
      </c>
      <c r="K208" s="297">
        <v>1223.42</v>
      </c>
      <c r="L208" s="297">
        <v>404.3</v>
      </c>
      <c r="M208" s="294">
        <v>43</v>
      </c>
      <c r="N208" s="72">
        <f>'Приложение 2'!E210</f>
        <v>2556075.09</v>
      </c>
      <c r="O208" s="297">
        <v>0</v>
      </c>
      <c r="P208" s="297">
        <v>0</v>
      </c>
      <c r="Q208" s="297">
        <v>0</v>
      </c>
      <c r="R208" s="297">
        <f>N208</f>
        <v>2556075.09</v>
      </c>
      <c r="S208" s="297">
        <f t="shared" ref="S208" si="36">N208/K208</f>
        <v>2089.2866636151116</v>
      </c>
      <c r="T208" s="297">
        <v>5307.56</v>
      </c>
      <c r="U208" s="46" t="s">
        <v>225</v>
      </c>
    </row>
    <row r="209" spans="1:21" ht="29.25" hidden="1" customHeight="1">
      <c r="A209" s="510" t="s">
        <v>439</v>
      </c>
      <c r="B209" s="511"/>
      <c r="C209" s="284"/>
      <c r="D209" s="284"/>
      <c r="E209" s="294" t="s">
        <v>387</v>
      </c>
      <c r="F209" s="294" t="s">
        <v>387</v>
      </c>
      <c r="G209" s="294" t="s">
        <v>387</v>
      </c>
      <c r="H209" s="294" t="s">
        <v>387</v>
      </c>
      <c r="I209" s="294" t="s">
        <v>387</v>
      </c>
      <c r="J209" s="297">
        <f t="shared" ref="J209:R209" si="37">SUM(J208:J208)</f>
        <v>1670.6</v>
      </c>
      <c r="K209" s="297">
        <f t="shared" si="37"/>
        <v>1223.42</v>
      </c>
      <c r="L209" s="297">
        <f t="shared" si="37"/>
        <v>404.3</v>
      </c>
      <c r="M209" s="44">
        <f t="shared" si="37"/>
        <v>43</v>
      </c>
      <c r="N209" s="297">
        <f t="shared" si="37"/>
        <v>2556075.09</v>
      </c>
      <c r="O209" s="297">
        <f t="shared" si="37"/>
        <v>0</v>
      </c>
      <c r="P209" s="297">
        <f t="shared" si="37"/>
        <v>0</v>
      </c>
      <c r="Q209" s="297">
        <f t="shared" si="37"/>
        <v>0</v>
      </c>
      <c r="R209" s="297">
        <f t="shared" si="37"/>
        <v>2556075.09</v>
      </c>
      <c r="S209" s="297">
        <f>N209/K209</f>
        <v>2089.2866636151116</v>
      </c>
      <c r="T209" s="297"/>
      <c r="U209" s="46"/>
    </row>
    <row r="210" spans="1:21" ht="9" hidden="1" customHeight="1">
      <c r="A210" s="514" t="s">
        <v>431</v>
      </c>
      <c r="B210" s="515"/>
      <c r="C210" s="515"/>
      <c r="D210" s="515"/>
      <c r="E210" s="515"/>
      <c r="F210" s="515"/>
      <c r="G210" s="515"/>
      <c r="H210" s="515"/>
      <c r="I210" s="515"/>
      <c r="J210" s="515"/>
      <c r="K210" s="515"/>
      <c r="L210" s="515"/>
      <c r="M210" s="515"/>
      <c r="N210" s="515"/>
      <c r="O210" s="515"/>
      <c r="P210" s="515"/>
      <c r="Q210" s="515"/>
      <c r="R210" s="515"/>
      <c r="S210" s="515"/>
      <c r="T210" s="515"/>
      <c r="U210" s="516"/>
    </row>
    <row r="211" spans="1:21" ht="9" hidden="1" customHeight="1">
      <c r="A211" s="78">
        <v>172</v>
      </c>
      <c r="B211" s="68" t="s">
        <v>290</v>
      </c>
      <c r="C211" s="285" t="s">
        <v>998</v>
      </c>
      <c r="D211" s="285"/>
      <c r="E211" s="294">
        <v>1963</v>
      </c>
      <c r="F211" s="294"/>
      <c r="G211" s="294" t="s">
        <v>87</v>
      </c>
      <c r="H211" s="294" t="s">
        <v>72</v>
      </c>
      <c r="I211" s="294">
        <v>3</v>
      </c>
      <c r="J211" s="297">
        <v>555.5</v>
      </c>
      <c r="K211" s="297">
        <v>495</v>
      </c>
      <c r="L211" s="297">
        <v>444.2</v>
      </c>
      <c r="M211" s="294">
        <v>28</v>
      </c>
      <c r="N211" s="79">
        <f>'Приложение 2'!E214</f>
        <v>1578614.91</v>
      </c>
      <c r="O211" s="297">
        <v>0</v>
      </c>
      <c r="P211" s="297">
        <v>0</v>
      </c>
      <c r="Q211" s="297">
        <v>0</v>
      </c>
      <c r="R211" s="297">
        <f>N211</f>
        <v>1578614.91</v>
      </c>
      <c r="S211" s="297">
        <f>N211/K211</f>
        <v>3189.1210303030302</v>
      </c>
      <c r="T211" s="297">
        <v>4503.95</v>
      </c>
      <c r="U211" s="46" t="s">
        <v>225</v>
      </c>
    </row>
    <row r="212" spans="1:21" ht="9" hidden="1" customHeight="1">
      <c r="A212" s="78">
        <v>173</v>
      </c>
      <c r="B212" s="68" t="s">
        <v>291</v>
      </c>
      <c r="C212" s="285" t="s">
        <v>998</v>
      </c>
      <c r="D212" s="285"/>
      <c r="E212" s="294">
        <v>1971</v>
      </c>
      <c r="F212" s="294"/>
      <c r="G212" s="294" t="s">
        <v>87</v>
      </c>
      <c r="H212" s="294" t="s">
        <v>72</v>
      </c>
      <c r="I212" s="294" t="s">
        <v>72</v>
      </c>
      <c r="J212" s="297">
        <v>542.6</v>
      </c>
      <c r="K212" s="297">
        <v>480.3</v>
      </c>
      <c r="L212" s="297">
        <v>480.3</v>
      </c>
      <c r="M212" s="294">
        <v>18</v>
      </c>
      <c r="N212" s="79">
        <f>'Приложение 2'!E215</f>
        <v>1431961.9</v>
      </c>
      <c r="O212" s="297">
        <v>0</v>
      </c>
      <c r="P212" s="297">
        <v>0</v>
      </c>
      <c r="Q212" s="297">
        <v>0</v>
      </c>
      <c r="R212" s="297">
        <f>N212</f>
        <v>1431961.9</v>
      </c>
      <c r="S212" s="297">
        <f>N212/K212</f>
        <v>2981.3905892150738</v>
      </c>
      <c r="T212" s="297">
        <v>4503.95</v>
      </c>
      <c r="U212" s="86" t="s">
        <v>225</v>
      </c>
    </row>
    <row r="213" spans="1:21" ht="30.75" hidden="1" customHeight="1">
      <c r="A213" s="510" t="s">
        <v>432</v>
      </c>
      <c r="B213" s="511"/>
      <c r="C213" s="284"/>
      <c r="D213" s="284"/>
      <c r="E213" s="78" t="s">
        <v>387</v>
      </c>
      <c r="F213" s="78" t="s">
        <v>387</v>
      </c>
      <c r="G213" s="78" t="s">
        <v>387</v>
      </c>
      <c r="H213" s="78" t="s">
        <v>387</v>
      </c>
      <c r="I213" s="78" t="s">
        <v>387</v>
      </c>
      <c r="J213" s="79">
        <f t="shared" ref="J213:R213" si="38">SUM(J211:J212)</f>
        <v>1098.0999999999999</v>
      </c>
      <c r="K213" s="79">
        <f t="shared" si="38"/>
        <v>975.3</v>
      </c>
      <c r="L213" s="79">
        <f t="shared" si="38"/>
        <v>924.5</v>
      </c>
      <c r="M213" s="44">
        <f t="shared" si="38"/>
        <v>46</v>
      </c>
      <c r="N213" s="79">
        <f t="shared" si="38"/>
        <v>3010576.8099999996</v>
      </c>
      <c r="O213" s="79">
        <f t="shared" si="38"/>
        <v>0</v>
      </c>
      <c r="P213" s="79">
        <f t="shared" si="38"/>
        <v>0</v>
      </c>
      <c r="Q213" s="79">
        <f t="shared" si="38"/>
        <v>0</v>
      </c>
      <c r="R213" s="79">
        <f t="shared" si="38"/>
        <v>3010576.8099999996</v>
      </c>
      <c r="S213" s="297">
        <f>N213/K213</f>
        <v>3086.8212960114834</v>
      </c>
      <c r="T213" s="297"/>
      <c r="U213" s="78"/>
    </row>
    <row r="214" spans="1:21" ht="9" hidden="1" customHeight="1">
      <c r="A214" s="519" t="s">
        <v>1070</v>
      </c>
      <c r="B214" s="520"/>
      <c r="C214" s="520"/>
      <c r="D214" s="520"/>
      <c r="E214" s="520"/>
      <c r="F214" s="520"/>
      <c r="G214" s="520"/>
      <c r="H214" s="520"/>
      <c r="I214" s="520"/>
      <c r="J214" s="520"/>
      <c r="K214" s="520"/>
      <c r="L214" s="520"/>
      <c r="M214" s="520"/>
      <c r="N214" s="520"/>
      <c r="O214" s="520"/>
      <c r="P214" s="520"/>
      <c r="Q214" s="520"/>
      <c r="R214" s="520"/>
      <c r="S214" s="520"/>
      <c r="T214" s="520"/>
      <c r="U214" s="521"/>
    </row>
    <row r="215" spans="1:21" ht="9" hidden="1" customHeight="1">
      <c r="A215" s="294">
        <v>174</v>
      </c>
      <c r="B215" s="68" t="s">
        <v>370</v>
      </c>
      <c r="C215" s="285" t="s">
        <v>997</v>
      </c>
      <c r="D215" s="285"/>
      <c r="E215" s="294">
        <v>1980</v>
      </c>
      <c r="F215" s="294"/>
      <c r="G215" s="294" t="s">
        <v>89</v>
      </c>
      <c r="H215" s="294">
        <v>5</v>
      </c>
      <c r="I215" s="294">
        <v>1</v>
      </c>
      <c r="J215" s="297">
        <v>2513.1</v>
      </c>
      <c r="K215" s="297">
        <v>2135.1</v>
      </c>
      <c r="L215" s="297">
        <v>2135.1</v>
      </c>
      <c r="M215" s="294">
        <v>123</v>
      </c>
      <c r="N215" s="297">
        <f>'Приложение 2'!E218</f>
        <v>1594069.23</v>
      </c>
      <c r="O215" s="297">
        <v>0</v>
      </c>
      <c r="P215" s="297">
        <v>0</v>
      </c>
      <c r="Q215" s="297">
        <v>0</v>
      </c>
      <c r="R215" s="297">
        <f>N215</f>
        <v>1594069.23</v>
      </c>
      <c r="S215" s="297">
        <f>N215/K215</f>
        <v>746.6016720528313</v>
      </c>
      <c r="T215" s="297">
        <v>4180</v>
      </c>
      <c r="U215" s="86" t="s">
        <v>225</v>
      </c>
    </row>
    <row r="216" spans="1:21" ht="31.5" hidden="1" customHeight="1">
      <c r="A216" s="548" t="s">
        <v>1071</v>
      </c>
      <c r="B216" s="549"/>
      <c r="C216" s="292"/>
      <c r="D216" s="292"/>
      <c r="E216" s="301" t="s">
        <v>387</v>
      </c>
      <c r="F216" s="301" t="s">
        <v>387</v>
      </c>
      <c r="G216" s="301" t="s">
        <v>387</v>
      </c>
      <c r="H216" s="301" t="s">
        <v>387</v>
      </c>
      <c r="I216" s="301" t="s">
        <v>387</v>
      </c>
      <c r="J216" s="87">
        <f t="shared" ref="J216:R216" si="39">SUM(J215:J215)</f>
        <v>2513.1</v>
      </c>
      <c r="K216" s="87">
        <f t="shared" si="39"/>
        <v>2135.1</v>
      </c>
      <c r="L216" s="87">
        <f t="shared" si="39"/>
        <v>2135.1</v>
      </c>
      <c r="M216" s="44">
        <f t="shared" si="39"/>
        <v>123</v>
      </c>
      <c r="N216" s="87">
        <f t="shared" si="39"/>
        <v>1594069.23</v>
      </c>
      <c r="O216" s="87">
        <f t="shared" si="39"/>
        <v>0</v>
      </c>
      <c r="P216" s="87">
        <f t="shared" si="39"/>
        <v>0</v>
      </c>
      <c r="Q216" s="87">
        <f t="shared" si="39"/>
        <v>0</v>
      </c>
      <c r="R216" s="87">
        <f t="shared" si="39"/>
        <v>1594069.23</v>
      </c>
      <c r="S216" s="87">
        <f>N216/K216</f>
        <v>746.6016720528313</v>
      </c>
      <c r="T216" s="87"/>
      <c r="U216" s="88"/>
    </row>
    <row r="217" spans="1:21" s="71" customFormat="1" ht="9" hidden="1" customHeight="1">
      <c r="A217" s="502" t="s">
        <v>405</v>
      </c>
      <c r="B217" s="502"/>
      <c r="C217" s="502"/>
      <c r="D217" s="502"/>
      <c r="E217" s="502"/>
      <c r="F217" s="502"/>
      <c r="G217" s="502"/>
      <c r="H217" s="502"/>
      <c r="I217" s="502"/>
      <c r="J217" s="502"/>
      <c r="K217" s="502"/>
      <c r="L217" s="502"/>
      <c r="M217" s="502"/>
      <c r="N217" s="502"/>
      <c r="O217" s="502"/>
      <c r="P217" s="502"/>
      <c r="Q217" s="502"/>
      <c r="R217" s="502"/>
      <c r="S217" s="502"/>
      <c r="T217" s="502"/>
      <c r="U217" s="502"/>
    </row>
    <row r="218" spans="1:21" s="71" customFormat="1" ht="9" hidden="1" customHeight="1">
      <c r="A218" s="285">
        <v>175</v>
      </c>
      <c r="B218" s="68" t="s">
        <v>316</v>
      </c>
      <c r="C218" s="285" t="s">
        <v>998</v>
      </c>
      <c r="D218" s="285"/>
      <c r="E218" s="294">
        <v>1964</v>
      </c>
      <c r="F218" s="294"/>
      <c r="G218" s="294" t="s">
        <v>87</v>
      </c>
      <c r="H218" s="294">
        <v>2</v>
      </c>
      <c r="I218" s="294">
        <v>2</v>
      </c>
      <c r="J218" s="61">
        <v>419.5</v>
      </c>
      <c r="K218" s="61">
        <v>399.3</v>
      </c>
      <c r="L218" s="61">
        <v>399.3</v>
      </c>
      <c r="M218" s="294">
        <v>21</v>
      </c>
      <c r="N218" s="297">
        <f>'Приложение 2'!E221</f>
        <v>915711.45</v>
      </c>
      <c r="O218" s="297">
        <v>0</v>
      </c>
      <c r="P218" s="297">
        <v>0</v>
      </c>
      <c r="Q218" s="297">
        <v>0</v>
      </c>
      <c r="R218" s="297">
        <f>N218</f>
        <v>915711.45</v>
      </c>
      <c r="S218" s="297">
        <f>N218/K218</f>
        <v>2293.2918858001499</v>
      </c>
      <c r="T218" s="297">
        <v>4503.95</v>
      </c>
      <c r="U218" s="86" t="s">
        <v>225</v>
      </c>
    </row>
    <row r="219" spans="1:21" s="71" customFormat="1" ht="25.5" hidden="1" customHeight="1">
      <c r="A219" s="546" t="s">
        <v>406</v>
      </c>
      <c r="B219" s="546"/>
      <c r="C219" s="295"/>
      <c r="D219" s="295"/>
      <c r="E219" s="302" t="s">
        <v>387</v>
      </c>
      <c r="F219" s="302" t="s">
        <v>387</v>
      </c>
      <c r="G219" s="302" t="s">
        <v>387</v>
      </c>
      <c r="H219" s="302" t="s">
        <v>387</v>
      </c>
      <c r="I219" s="302" t="s">
        <v>387</v>
      </c>
      <c r="J219" s="74">
        <f t="shared" ref="J219:R219" si="40">SUM(J218:J218)</f>
        <v>419.5</v>
      </c>
      <c r="K219" s="74">
        <f t="shared" si="40"/>
        <v>399.3</v>
      </c>
      <c r="L219" s="74">
        <f t="shared" si="40"/>
        <v>399.3</v>
      </c>
      <c r="M219" s="44">
        <f t="shared" si="40"/>
        <v>21</v>
      </c>
      <c r="N219" s="74">
        <f t="shared" si="40"/>
        <v>915711.45</v>
      </c>
      <c r="O219" s="74">
        <f t="shared" si="40"/>
        <v>0</v>
      </c>
      <c r="P219" s="74">
        <f t="shared" si="40"/>
        <v>0</v>
      </c>
      <c r="Q219" s="74">
        <f t="shared" si="40"/>
        <v>0</v>
      </c>
      <c r="R219" s="74">
        <f t="shared" si="40"/>
        <v>915711.45</v>
      </c>
      <c r="S219" s="74">
        <f>N219/K219</f>
        <v>2293.2918858001499</v>
      </c>
      <c r="T219" s="74"/>
      <c r="U219" s="89"/>
    </row>
    <row r="220" spans="1:21" s="71" customFormat="1" ht="9" hidden="1" customHeight="1">
      <c r="A220" s="502" t="s">
        <v>302</v>
      </c>
      <c r="B220" s="502"/>
      <c r="C220" s="502"/>
      <c r="D220" s="502"/>
      <c r="E220" s="502"/>
      <c r="F220" s="502"/>
      <c r="G220" s="502"/>
      <c r="H220" s="502"/>
      <c r="I220" s="502"/>
      <c r="J220" s="502"/>
      <c r="K220" s="502"/>
      <c r="L220" s="502"/>
      <c r="M220" s="502"/>
      <c r="N220" s="502"/>
      <c r="O220" s="502"/>
      <c r="P220" s="502"/>
      <c r="Q220" s="502"/>
      <c r="R220" s="502"/>
      <c r="S220" s="502"/>
      <c r="T220" s="502"/>
      <c r="U220" s="502"/>
    </row>
    <row r="221" spans="1:21" s="71" customFormat="1" ht="9" hidden="1" customHeight="1">
      <c r="A221" s="294">
        <v>176</v>
      </c>
      <c r="B221" s="68" t="s">
        <v>314</v>
      </c>
      <c r="C221" s="285" t="s">
        <v>998</v>
      </c>
      <c r="D221" s="285"/>
      <c r="E221" s="294">
        <v>1965</v>
      </c>
      <c r="F221" s="294"/>
      <c r="G221" s="294" t="s">
        <v>87</v>
      </c>
      <c r="H221" s="294" t="s">
        <v>72</v>
      </c>
      <c r="I221" s="294" t="s">
        <v>72</v>
      </c>
      <c r="J221" s="297">
        <v>505.1</v>
      </c>
      <c r="K221" s="297">
        <v>475.1</v>
      </c>
      <c r="L221" s="297">
        <v>433.2</v>
      </c>
      <c r="M221" s="44">
        <v>17</v>
      </c>
      <c r="N221" s="297">
        <f>'Приложение 2'!E224</f>
        <v>1758941.64</v>
      </c>
      <c r="O221" s="297">
        <v>0</v>
      </c>
      <c r="P221" s="297">
        <v>0</v>
      </c>
      <c r="Q221" s="297">
        <v>0</v>
      </c>
      <c r="R221" s="297">
        <f>N221</f>
        <v>1758941.64</v>
      </c>
      <c r="S221" s="297">
        <f>N221/K221</f>
        <v>3702.2556093454004</v>
      </c>
      <c r="T221" s="297">
        <v>4503.95</v>
      </c>
      <c r="U221" s="86" t="s">
        <v>225</v>
      </c>
    </row>
    <row r="222" spans="1:21" s="71" customFormat="1" ht="21.75" hidden="1" customHeight="1">
      <c r="A222" s="503" t="s">
        <v>297</v>
      </c>
      <c r="B222" s="503"/>
      <c r="C222" s="285"/>
      <c r="D222" s="285"/>
      <c r="E222" s="294" t="s">
        <v>387</v>
      </c>
      <c r="F222" s="294" t="s">
        <v>387</v>
      </c>
      <c r="G222" s="294" t="s">
        <v>387</v>
      </c>
      <c r="H222" s="294" t="s">
        <v>387</v>
      </c>
      <c r="I222" s="294" t="s">
        <v>387</v>
      </c>
      <c r="J222" s="297">
        <f t="shared" ref="J222:R222" si="41">SUM(J221:J221)</f>
        <v>505.1</v>
      </c>
      <c r="K222" s="297">
        <f t="shared" si="41"/>
        <v>475.1</v>
      </c>
      <c r="L222" s="297">
        <f t="shared" si="41"/>
        <v>433.2</v>
      </c>
      <c r="M222" s="44">
        <f t="shared" si="41"/>
        <v>17</v>
      </c>
      <c r="N222" s="297">
        <f t="shared" si="41"/>
        <v>1758941.64</v>
      </c>
      <c r="O222" s="297">
        <f t="shared" si="41"/>
        <v>0</v>
      </c>
      <c r="P222" s="297">
        <f t="shared" si="41"/>
        <v>0</v>
      </c>
      <c r="Q222" s="297">
        <f t="shared" si="41"/>
        <v>0</v>
      </c>
      <c r="R222" s="297">
        <f t="shared" si="41"/>
        <v>1758941.64</v>
      </c>
      <c r="S222" s="297">
        <f>N222/K222</f>
        <v>3702.2556093454004</v>
      </c>
      <c r="T222" s="294"/>
      <c r="U222" s="46"/>
    </row>
    <row r="223" spans="1:21" s="71" customFormat="1" ht="9" hidden="1" customHeight="1">
      <c r="A223" s="502" t="s">
        <v>292</v>
      </c>
      <c r="B223" s="502"/>
      <c r="C223" s="502"/>
      <c r="D223" s="502"/>
      <c r="E223" s="502"/>
      <c r="F223" s="502"/>
      <c r="G223" s="502"/>
      <c r="H223" s="502"/>
      <c r="I223" s="502"/>
      <c r="J223" s="502"/>
      <c r="K223" s="502"/>
      <c r="L223" s="502"/>
      <c r="M223" s="502"/>
      <c r="N223" s="502"/>
      <c r="O223" s="502"/>
      <c r="P223" s="502"/>
      <c r="Q223" s="502"/>
      <c r="R223" s="502"/>
      <c r="S223" s="502"/>
      <c r="T223" s="502"/>
      <c r="U223" s="502"/>
    </row>
    <row r="224" spans="1:21" s="71" customFormat="1" ht="9" hidden="1" customHeight="1">
      <c r="A224" s="294">
        <v>177</v>
      </c>
      <c r="B224" s="285" t="s">
        <v>303</v>
      </c>
      <c r="C224" s="294" t="s">
        <v>997</v>
      </c>
      <c r="D224" s="294"/>
      <c r="E224" s="294">
        <v>1978</v>
      </c>
      <c r="F224" s="294"/>
      <c r="G224" s="294" t="s">
        <v>318</v>
      </c>
      <c r="H224" s="294">
        <v>5</v>
      </c>
      <c r="I224" s="294">
        <v>4</v>
      </c>
      <c r="J224" s="297">
        <v>3689.7</v>
      </c>
      <c r="K224" s="297">
        <v>3413.7</v>
      </c>
      <c r="L224" s="297">
        <v>3244.1</v>
      </c>
      <c r="M224" s="294">
        <v>124</v>
      </c>
      <c r="N224" s="297">
        <f>'Приложение 2'!E227</f>
        <v>3446471.72</v>
      </c>
      <c r="O224" s="297">
        <v>0</v>
      </c>
      <c r="P224" s="297">
        <v>0</v>
      </c>
      <c r="Q224" s="297">
        <v>0</v>
      </c>
      <c r="R224" s="297">
        <f>N224</f>
        <v>3446471.72</v>
      </c>
      <c r="S224" s="297">
        <f t="shared" ref="S224:S234" si="42">N224/K224</f>
        <v>1009.6000585874565</v>
      </c>
      <c r="T224" s="297">
        <v>4180</v>
      </c>
      <c r="U224" s="46" t="s">
        <v>225</v>
      </c>
    </row>
    <row r="225" spans="1:21" s="71" customFormat="1" ht="9" hidden="1" customHeight="1">
      <c r="A225" s="294">
        <v>178</v>
      </c>
      <c r="B225" s="285" t="s">
        <v>304</v>
      </c>
      <c r="C225" s="294" t="s">
        <v>997</v>
      </c>
      <c r="D225" s="294"/>
      <c r="E225" s="294">
        <v>1979</v>
      </c>
      <c r="F225" s="294"/>
      <c r="G225" s="294" t="s">
        <v>89</v>
      </c>
      <c r="H225" s="294">
        <v>5</v>
      </c>
      <c r="I225" s="294">
        <v>4</v>
      </c>
      <c r="J225" s="297">
        <v>3645.1</v>
      </c>
      <c r="K225" s="297">
        <v>3295.9</v>
      </c>
      <c r="L225" s="297">
        <v>3295.9</v>
      </c>
      <c r="M225" s="294">
        <v>124</v>
      </c>
      <c r="N225" s="297">
        <f>'Приложение 2'!E228</f>
        <v>3201832.16</v>
      </c>
      <c r="O225" s="297">
        <v>0</v>
      </c>
      <c r="P225" s="297">
        <v>0</v>
      </c>
      <c r="Q225" s="297">
        <v>0</v>
      </c>
      <c r="R225" s="297">
        <f t="shared" ref="R225:R233" si="43">N225</f>
        <v>3201832.16</v>
      </c>
      <c r="S225" s="297">
        <f t="shared" si="42"/>
        <v>971.45913407566979</v>
      </c>
      <c r="T225" s="297">
        <v>4180</v>
      </c>
      <c r="U225" s="46" t="s">
        <v>225</v>
      </c>
    </row>
    <row r="226" spans="1:21" s="71" customFormat="1" ht="9" hidden="1" customHeight="1">
      <c r="A226" s="294">
        <v>179</v>
      </c>
      <c r="B226" s="285" t="s">
        <v>305</v>
      </c>
      <c r="C226" s="294" t="s">
        <v>997</v>
      </c>
      <c r="D226" s="294"/>
      <c r="E226" s="294">
        <v>1979</v>
      </c>
      <c r="F226" s="294"/>
      <c r="G226" s="294" t="s">
        <v>89</v>
      </c>
      <c r="H226" s="294">
        <v>5</v>
      </c>
      <c r="I226" s="294">
        <v>8</v>
      </c>
      <c r="J226" s="297">
        <v>6296.7</v>
      </c>
      <c r="K226" s="297">
        <v>5543.1</v>
      </c>
      <c r="L226" s="297">
        <v>5543.1</v>
      </c>
      <c r="M226" s="294">
        <v>247</v>
      </c>
      <c r="N226" s="297">
        <f>'Приложение 2'!E229</f>
        <v>5721344.5199999996</v>
      </c>
      <c r="O226" s="297">
        <v>0</v>
      </c>
      <c r="P226" s="297">
        <v>0</v>
      </c>
      <c r="Q226" s="297">
        <v>0</v>
      </c>
      <c r="R226" s="297">
        <f t="shared" si="43"/>
        <v>5721344.5199999996</v>
      </c>
      <c r="S226" s="297">
        <f t="shared" si="42"/>
        <v>1032.1561075932239</v>
      </c>
      <c r="T226" s="297">
        <v>4180</v>
      </c>
      <c r="U226" s="46" t="s">
        <v>225</v>
      </c>
    </row>
    <row r="227" spans="1:21" s="71" customFormat="1" ht="9" hidden="1" customHeight="1">
      <c r="A227" s="294">
        <v>180</v>
      </c>
      <c r="B227" s="285" t="s">
        <v>309</v>
      </c>
      <c r="C227" s="294" t="s">
        <v>997</v>
      </c>
      <c r="D227" s="294"/>
      <c r="E227" s="294">
        <v>1988</v>
      </c>
      <c r="F227" s="294"/>
      <c r="G227" s="294" t="s">
        <v>87</v>
      </c>
      <c r="H227" s="294">
        <v>5</v>
      </c>
      <c r="I227" s="294">
        <v>2</v>
      </c>
      <c r="J227" s="297">
        <v>1683.3</v>
      </c>
      <c r="K227" s="297">
        <v>1495.1</v>
      </c>
      <c r="L227" s="297">
        <v>1495.1</v>
      </c>
      <c r="M227" s="294">
        <v>64</v>
      </c>
      <c r="N227" s="297">
        <f>'Приложение 2'!E230</f>
        <v>791403.92</v>
      </c>
      <c r="O227" s="297">
        <v>0</v>
      </c>
      <c r="P227" s="297">
        <v>0</v>
      </c>
      <c r="Q227" s="297">
        <v>0</v>
      </c>
      <c r="R227" s="297">
        <f t="shared" si="43"/>
        <v>791403.92</v>
      </c>
      <c r="S227" s="297">
        <f t="shared" si="42"/>
        <v>529.33176376162135</v>
      </c>
      <c r="T227" s="297">
        <v>4180</v>
      </c>
      <c r="U227" s="46" t="s">
        <v>225</v>
      </c>
    </row>
    <row r="228" spans="1:21" s="71" customFormat="1" ht="9" hidden="1" customHeight="1">
      <c r="A228" s="294">
        <v>181</v>
      </c>
      <c r="B228" s="285" t="s">
        <v>306</v>
      </c>
      <c r="C228" s="294" t="s">
        <v>997</v>
      </c>
      <c r="D228" s="294"/>
      <c r="E228" s="294">
        <v>1983</v>
      </c>
      <c r="F228" s="294"/>
      <c r="G228" s="294" t="s">
        <v>87</v>
      </c>
      <c r="H228" s="294">
        <v>5</v>
      </c>
      <c r="I228" s="294">
        <v>2</v>
      </c>
      <c r="J228" s="297">
        <v>1467.3</v>
      </c>
      <c r="K228" s="297">
        <v>1317.5</v>
      </c>
      <c r="L228" s="297">
        <v>1317.5</v>
      </c>
      <c r="M228" s="294">
        <v>63</v>
      </c>
      <c r="N228" s="297">
        <f>'Приложение 2'!E231</f>
        <v>750571.93</v>
      </c>
      <c r="O228" s="297">
        <v>0</v>
      </c>
      <c r="P228" s="297">
        <v>0</v>
      </c>
      <c r="Q228" s="297">
        <v>0</v>
      </c>
      <c r="R228" s="297">
        <f t="shared" si="43"/>
        <v>750571.93</v>
      </c>
      <c r="S228" s="297">
        <f t="shared" si="42"/>
        <v>569.69406451612906</v>
      </c>
      <c r="T228" s="297">
        <v>4180</v>
      </c>
      <c r="U228" s="46" t="s">
        <v>225</v>
      </c>
    </row>
    <row r="229" spans="1:21" s="71" customFormat="1" ht="9" hidden="1" customHeight="1">
      <c r="A229" s="294">
        <v>182</v>
      </c>
      <c r="B229" s="285" t="s">
        <v>307</v>
      </c>
      <c r="C229" s="294" t="s">
        <v>997</v>
      </c>
      <c r="D229" s="294"/>
      <c r="E229" s="294">
        <v>1984</v>
      </c>
      <c r="F229" s="294"/>
      <c r="G229" s="294" t="s">
        <v>87</v>
      </c>
      <c r="H229" s="294" t="s">
        <v>75</v>
      </c>
      <c r="I229" s="294">
        <v>1</v>
      </c>
      <c r="J229" s="297">
        <v>3955</v>
      </c>
      <c r="K229" s="297">
        <v>2488.5</v>
      </c>
      <c r="L229" s="297">
        <v>2070.5</v>
      </c>
      <c r="M229" s="44">
        <v>179</v>
      </c>
      <c r="N229" s="297">
        <f>'Приложение 2'!E232</f>
        <v>1714578.77</v>
      </c>
      <c r="O229" s="297">
        <v>0</v>
      </c>
      <c r="P229" s="297">
        <v>0</v>
      </c>
      <c r="Q229" s="297">
        <v>0</v>
      </c>
      <c r="R229" s="297">
        <f t="shared" si="43"/>
        <v>1714578.77</v>
      </c>
      <c r="S229" s="297">
        <f t="shared" si="42"/>
        <v>689.00091219610204</v>
      </c>
      <c r="T229" s="297">
        <v>4180</v>
      </c>
      <c r="U229" s="46" t="s">
        <v>225</v>
      </c>
    </row>
    <row r="230" spans="1:21" s="71" customFormat="1" ht="9" hidden="1" customHeight="1">
      <c r="A230" s="294">
        <v>183</v>
      </c>
      <c r="B230" s="285" t="s">
        <v>308</v>
      </c>
      <c r="C230" s="294" t="s">
        <v>998</v>
      </c>
      <c r="D230" s="294"/>
      <c r="E230" s="294">
        <v>1986</v>
      </c>
      <c r="F230" s="294"/>
      <c r="G230" s="294" t="s">
        <v>89</v>
      </c>
      <c r="H230" s="294" t="s">
        <v>72</v>
      </c>
      <c r="I230" s="294">
        <v>2</v>
      </c>
      <c r="J230" s="297">
        <v>658.1</v>
      </c>
      <c r="K230" s="297">
        <v>576.6</v>
      </c>
      <c r="L230" s="297">
        <v>481.2</v>
      </c>
      <c r="M230" s="44">
        <v>23</v>
      </c>
      <c r="N230" s="297">
        <f>'Приложение 2'!E233</f>
        <v>1645012.38</v>
      </c>
      <c r="O230" s="297">
        <v>0</v>
      </c>
      <c r="P230" s="297">
        <v>0</v>
      </c>
      <c r="Q230" s="297">
        <v>0</v>
      </c>
      <c r="R230" s="297">
        <f t="shared" si="43"/>
        <v>1645012.38</v>
      </c>
      <c r="S230" s="297">
        <f t="shared" si="42"/>
        <v>2852.9524453694066</v>
      </c>
      <c r="T230" s="297">
        <v>4503.95</v>
      </c>
      <c r="U230" s="46" t="s">
        <v>225</v>
      </c>
    </row>
    <row r="231" spans="1:21" s="71" customFormat="1" ht="9" hidden="1" customHeight="1">
      <c r="A231" s="294">
        <v>184</v>
      </c>
      <c r="B231" s="285" t="s">
        <v>310</v>
      </c>
      <c r="C231" s="294" t="s">
        <v>997</v>
      </c>
      <c r="D231" s="294"/>
      <c r="E231" s="294">
        <v>1971</v>
      </c>
      <c r="F231" s="294"/>
      <c r="G231" s="294" t="s">
        <v>87</v>
      </c>
      <c r="H231" s="294">
        <v>5</v>
      </c>
      <c r="I231" s="294">
        <v>1</v>
      </c>
      <c r="J231" s="297">
        <v>4089.2</v>
      </c>
      <c r="K231" s="297">
        <v>2773.4</v>
      </c>
      <c r="L231" s="297">
        <v>2609.1999999999998</v>
      </c>
      <c r="M231" s="294">
        <v>147</v>
      </c>
      <c r="N231" s="297">
        <f>'Приложение 2'!E234</f>
        <v>2961909.1</v>
      </c>
      <c r="O231" s="297">
        <v>0</v>
      </c>
      <c r="P231" s="297">
        <v>0</v>
      </c>
      <c r="Q231" s="297">
        <v>0</v>
      </c>
      <c r="R231" s="297">
        <f t="shared" si="43"/>
        <v>2961909.1</v>
      </c>
      <c r="S231" s="297">
        <f t="shared" si="42"/>
        <v>1067.9703973462176</v>
      </c>
      <c r="T231" s="297">
        <v>4180</v>
      </c>
      <c r="U231" s="46" t="s">
        <v>225</v>
      </c>
    </row>
    <row r="232" spans="1:21" s="71" customFormat="1" ht="9" hidden="1" customHeight="1">
      <c r="A232" s="294">
        <v>185</v>
      </c>
      <c r="B232" s="285" t="s">
        <v>311</v>
      </c>
      <c r="C232" s="294" t="s">
        <v>997</v>
      </c>
      <c r="D232" s="294"/>
      <c r="E232" s="294">
        <v>1973</v>
      </c>
      <c r="F232" s="294"/>
      <c r="G232" s="294" t="s">
        <v>87</v>
      </c>
      <c r="H232" s="294">
        <v>5</v>
      </c>
      <c r="I232" s="294">
        <v>1</v>
      </c>
      <c r="J232" s="297">
        <v>4616.3999999999996</v>
      </c>
      <c r="K232" s="297">
        <v>2573.3000000000002</v>
      </c>
      <c r="L232" s="297">
        <v>2538.9</v>
      </c>
      <c r="M232" s="294">
        <v>138</v>
      </c>
      <c r="N232" s="297">
        <f>'Приложение 2'!E235</f>
        <v>1234896.07</v>
      </c>
      <c r="O232" s="297">
        <v>0</v>
      </c>
      <c r="P232" s="297">
        <v>0</v>
      </c>
      <c r="Q232" s="297">
        <v>0</v>
      </c>
      <c r="R232" s="297">
        <f t="shared" si="43"/>
        <v>1234896.07</v>
      </c>
      <c r="S232" s="297">
        <f t="shared" si="42"/>
        <v>479.88810865425717</v>
      </c>
      <c r="T232" s="297">
        <v>4180</v>
      </c>
      <c r="U232" s="46" t="s">
        <v>225</v>
      </c>
    </row>
    <row r="233" spans="1:21" s="71" customFormat="1" ht="9" hidden="1" customHeight="1">
      <c r="A233" s="294">
        <v>186</v>
      </c>
      <c r="B233" s="285" t="s">
        <v>312</v>
      </c>
      <c r="C233" s="294" t="s">
        <v>998</v>
      </c>
      <c r="D233" s="294"/>
      <c r="E233" s="294">
        <v>1958</v>
      </c>
      <c r="F233" s="294"/>
      <c r="G233" s="294" t="s">
        <v>319</v>
      </c>
      <c r="H233" s="294">
        <v>2</v>
      </c>
      <c r="I233" s="294">
        <v>1</v>
      </c>
      <c r="J233" s="297">
        <v>456.58</v>
      </c>
      <c r="K233" s="297">
        <v>420.9</v>
      </c>
      <c r="L233" s="297">
        <v>420.9</v>
      </c>
      <c r="M233" s="294">
        <v>23</v>
      </c>
      <c r="N233" s="297">
        <f>'Приложение 2'!E236</f>
        <v>1205166.82</v>
      </c>
      <c r="O233" s="297">
        <v>0</v>
      </c>
      <c r="P233" s="297">
        <v>0</v>
      </c>
      <c r="Q233" s="297">
        <v>0</v>
      </c>
      <c r="R233" s="297">
        <f t="shared" si="43"/>
        <v>1205166.82</v>
      </c>
      <c r="S233" s="297">
        <f t="shared" si="42"/>
        <v>2863.3091470658119</v>
      </c>
      <c r="T233" s="297">
        <v>4503.95</v>
      </c>
      <c r="U233" s="46" t="s">
        <v>225</v>
      </c>
    </row>
    <row r="234" spans="1:21" s="71" customFormat="1" ht="9" hidden="1" customHeight="1">
      <c r="A234" s="294">
        <v>187</v>
      </c>
      <c r="B234" s="285" t="s">
        <v>313</v>
      </c>
      <c r="C234" s="294" t="s">
        <v>998</v>
      </c>
      <c r="D234" s="294"/>
      <c r="E234" s="294">
        <v>1952</v>
      </c>
      <c r="F234" s="294"/>
      <c r="G234" s="294" t="s">
        <v>319</v>
      </c>
      <c r="H234" s="294">
        <v>2</v>
      </c>
      <c r="I234" s="294">
        <v>1</v>
      </c>
      <c r="J234" s="297">
        <v>243</v>
      </c>
      <c r="K234" s="297">
        <v>233</v>
      </c>
      <c r="L234" s="297">
        <v>113.1</v>
      </c>
      <c r="M234" s="294">
        <v>5</v>
      </c>
      <c r="N234" s="297">
        <f>'Приложение 2'!E237</f>
        <v>670524.4</v>
      </c>
      <c r="O234" s="297">
        <v>0</v>
      </c>
      <c r="P234" s="297">
        <v>0</v>
      </c>
      <c r="Q234" s="297">
        <v>0</v>
      </c>
      <c r="R234" s="297">
        <f>N234</f>
        <v>670524.4</v>
      </c>
      <c r="S234" s="297">
        <f t="shared" si="42"/>
        <v>2877.7871244635194</v>
      </c>
      <c r="T234" s="297">
        <v>4503.95</v>
      </c>
      <c r="U234" s="46" t="s">
        <v>225</v>
      </c>
    </row>
    <row r="235" spans="1:21" s="71" customFormat="1" ht="21.75" hidden="1" customHeight="1">
      <c r="A235" s="510" t="s">
        <v>298</v>
      </c>
      <c r="B235" s="511"/>
      <c r="C235" s="294"/>
      <c r="D235" s="294"/>
      <c r="E235" s="294" t="s">
        <v>387</v>
      </c>
      <c r="F235" s="294" t="s">
        <v>387</v>
      </c>
      <c r="G235" s="294" t="s">
        <v>387</v>
      </c>
      <c r="H235" s="294" t="s">
        <v>387</v>
      </c>
      <c r="I235" s="294" t="s">
        <v>387</v>
      </c>
      <c r="J235" s="297">
        <f t="shared" ref="J235:R235" si="44">SUM(J224:J234)</f>
        <v>30800.379999999997</v>
      </c>
      <c r="K235" s="297">
        <f t="shared" si="44"/>
        <v>24131.000000000004</v>
      </c>
      <c r="L235" s="297">
        <f t="shared" si="44"/>
        <v>23129.500000000004</v>
      </c>
      <c r="M235" s="44">
        <f t="shared" si="44"/>
        <v>1137</v>
      </c>
      <c r="N235" s="297">
        <f t="shared" si="44"/>
        <v>23343711.789999999</v>
      </c>
      <c r="O235" s="297">
        <f t="shared" si="44"/>
        <v>0</v>
      </c>
      <c r="P235" s="297">
        <f t="shared" si="44"/>
        <v>0</v>
      </c>
      <c r="Q235" s="297">
        <f t="shared" si="44"/>
        <v>0</v>
      </c>
      <c r="R235" s="297">
        <f t="shared" si="44"/>
        <v>23343711.789999999</v>
      </c>
      <c r="S235" s="297">
        <f>N235/K235</f>
        <v>967.37440595085138</v>
      </c>
      <c r="T235" s="297"/>
      <c r="U235" s="46"/>
    </row>
    <row r="236" spans="1:21" s="71" customFormat="1" ht="9" hidden="1" customHeight="1">
      <c r="A236" s="502" t="s">
        <v>293</v>
      </c>
      <c r="B236" s="502"/>
      <c r="C236" s="502"/>
      <c r="D236" s="502"/>
      <c r="E236" s="502"/>
      <c r="F236" s="502"/>
      <c r="G236" s="502"/>
      <c r="H236" s="502"/>
      <c r="I236" s="502"/>
      <c r="J236" s="502"/>
      <c r="K236" s="502"/>
      <c r="L236" s="502"/>
      <c r="M236" s="502"/>
      <c r="N236" s="502"/>
      <c r="O236" s="502"/>
      <c r="P236" s="502"/>
      <c r="Q236" s="502"/>
      <c r="R236" s="502"/>
      <c r="S236" s="502"/>
      <c r="T236" s="502"/>
      <c r="U236" s="502"/>
    </row>
    <row r="237" spans="1:21" s="71" customFormat="1" ht="9" hidden="1" customHeight="1">
      <c r="A237" s="294">
        <v>188</v>
      </c>
      <c r="B237" s="68" t="s">
        <v>320</v>
      </c>
      <c r="C237" s="69" t="s">
        <v>998</v>
      </c>
      <c r="D237" s="69"/>
      <c r="E237" s="294">
        <v>1955</v>
      </c>
      <c r="F237" s="294"/>
      <c r="G237" s="294" t="s">
        <v>87</v>
      </c>
      <c r="H237" s="294">
        <v>2</v>
      </c>
      <c r="I237" s="294">
        <v>2</v>
      </c>
      <c r="J237" s="297">
        <v>404.5</v>
      </c>
      <c r="K237" s="297">
        <v>363.1</v>
      </c>
      <c r="L237" s="297">
        <v>41.4</v>
      </c>
      <c r="M237" s="44">
        <v>17</v>
      </c>
      <c r="N237" s="297">
        <f>'Приложение 2'!E240</f>
        <v>1214177.33</v>
      </c>
      <c r="O237" s="297">
        <v>0</v>
      </c>
      <c r="P237" s="297">
        <v>0</v>
      </c>
      <c r="Q237" s="297">
        <v>0</v>
      </c>
      <c r="R237" s="297">
        <f>N237</f>
        <v>1214177.33</v>
      </c>
      <c r="S237" s="297">
        <f>N237/K237</f>
        <v>3343.9199394106308</v>
      </c>
      <c r="T237" s="297">
        <v>4503.95</v>
      </c>
      <c r="U237" s="46" t="s">
        <v>225</v>
      </c>
    </row>
    <row r="238" spans="1:21" s="71" customFormat="1" ht="9" hidden="1" customHeight="1">
      <c r="A238" s="294">
        <v>189</v>
      </c>
      <c r="B238" s="68" t="s">
        <v>321</v>
      </c>
      <c r="C238" s="69" t="s">
        <v>998</v>
      </c>
      <c r="D238" s="69"/>
      <c r="E238" s="294">
        <v>1965</v>
      </c>
      <c r="F238" s="294"/>
      <c r="G238" s="294" t="s">
        <v>87</v>
      </c>
      <c r="H238" s="294">
        <v>2</v>
      </c>
      <c r="I238" s="294">
        <v>3</v>
      </c>
      <c r="J238" s="303">
        <v>600</v>
      </c>
      <c r="K238" s="303">
        <v>538.20000000000005</v>
      </c>
      <c r="L238" s="297">
        <v>61.8</v>
      </c>
      <c r="M238" s="44">
        <v>34</v>
      </c>
      <c r="N238" s="297">
        <f>'Приложение 2'!E241</f>
        <v>1726678.51</v>
      </c>
      <c r="O238" s="297">
        <v>0</v>
      </c>
      <c r="P238" s="297">
        <v>0</v>
      </c>
      <c r="Q238" s="297">
        <v>0</v>
      </c>
      <c r="R238" s="297">
        <f>N238</f>
        <v>1726678.51</v>
      </c>
      <c r="S238" s="297">
        <f>N238/K238</f>
        <v>3208.2469528056481</v>
      </c>
      <c r="T238" s="297">
        <v>4503.95</v>
      </c>
      <c r="U238" s="46" t="s">
        <v>225</v>
      </c>
    </row>
    <row r="239" spans="1:21" s="71" customFormat="1" ht="22.5" hidden="1" customHeight="1">
      <c r="A239" s="503" t="s">
        <v>299</v>
      </c>
      <c r="B239" s="503"/>
      <c r="C239" s="285"/>
      <c r="D239" s="285"/>
      <c r="E239" s="294" t="s">
        <v>387</v>
      </c>
      <c r="F239" s="294" t="s">
        <v>387</v>
      </c>
      <c r="G239" s="294" t="s">
        <v>387</v>
      </c>
      <c r="H239" s="294" t="s">
        <v>387</v>
      </c>
      <c r="I239" s="294" t="s">
        <v>387</v>
      </c>
      <c r="J239" s="297">
        <f t="shared" ref="J239:R239" si="45">SUM(J237:J238)</f>
        <v>1004.5</v>
      </c>
      <c r="K239" s="297">
        <f t="shared" si="45"/>
        <v>901.30000000000007</v>
      </c>
      <c r="L239" s="297">
        <f t="shared" si="45"/>
        <v>103.19999999999999</v>
      </c>
      <c r="M239" s="44">
        <f t="shared" si="45"/>
        <v>51</v>
      </c>
      <c r="N239" s="297">
        <f t="shared" si="45"/>
        <v>2940855.84</v>
      </c>
      <c r="O239" s="297">
        <f t="shared" si="45"/>
        <v>0</v>
      </c>
      <c r="P239" s="297">
        <f t="shared" si="45"/>
        <v>0</v>
      </c>
      <c r="Q239" s="297">
        <f t="shared" si="45"/>
        <v>0</v>
      </c>
      <c r="R239" s="297">
        <f t="shared" si="45"/>
        <v>2940855.84</v>
      </c>
      <c r="S239" s="297">
        <f>N239/K239</f>
        <v>3262.9045156995448</v>
      </c>
      <c r="T239" s="297"/>
      <c r="U239" s="46"/>
    </row>
    <row r="240" spans="1:21" s="71" customFormat="1" ht="9" hidden="1" customHeight="1">
      <c r="A240" s="502" t="s">
        <v>294</v>
      </c>
      <c r="B240" s="502"/>
      <c r="C240" s="502"/>
      <c r="D240" s="502"/>
      <c r="E240" s="502"/>
      <c r="F240" s="502"/>
      <c r="G240" s="502"/>
      <c r="H240" s="502"/>
      <c r="I240" s="502"/>
      <c r="J240" s="502"/>
      <c r="K240" s="502"/>
      <c r="L240" s="502"/>
      <c r="M240" s="502"/>
      <c r="N240" s="502"/>
      <c r="O240" s="502"/>
      <c r="P240" s="502"/>
      <c r="Q240" s="502"/>
      <c r="R240" s="502"/>
      <c r="S240" s="502"/>
      <c r="T240" s="502"/>
      <c r="U240" s="502"/>
    </row>
    <row r="241" spans="1:21" s="71" customFormat="1" ht="9" hidden="1" customHeight="1">
      <c r="A241" s="294">
        <v>190</v>
      </c>
      <c r="B241" s="68" t="s">
        <v>317</v>
      </c>
      <c r="C241" s="285" t="s">
        <v>998</v>
      </c>
      <c r="D241" s="285"/>
      <c r="E241" s="294">
        <v>1973</v>
      </c>
      <c r="F241" s="294"/>
      <c r="G241" s="294" t="s">
        <v>87</v>
      </c>
      <c r="H241" s="294">
        <v>2</v>
      </c>
      <c r="I241" s="294">
        <v>3</v>
      </c>
      <c r="J241" s="297">
        <v>1528.8</v>
      </c>
      <c r="K241" s="297">
        <v>932.4</v>
      </c>
      <c r="L241" s="297">
        <v>932.4</v>
      </c>
      <c r="M241" s="44">
        <v>50</v>
      </c>
      <c r="N241" s="297">
        <f>'Приложение 2'!E244</f>
        <v>2023990.89</v>
      </c>
      <c r="O241" s="297">
        <v>0</v>
      </c>
      <c r="P241" s="297">
        <v>0</v>
      </c>
      <c r="Q241" s="297">
        <v>0</v>
      </c>
      <c r="R241" s="297">
        <f>N241</f>
        <v>2023990.89</v>
      </c>
      <c r="S241" s="297">
        <f>N241/K241</f>
        <v>2170.7324002574001</v>
      </c>
      <c r="T241" s="297">
        <v>4503.95</v>
      </c>
      <c r="U241" s="46" t="s">
        <v>225</v>
      </c>
    </row>
    <row r="242" spans="1:21" s="71" customFormat="1" ht="22.5" hidden="1" customHeight="1">
      <c r="A242" s="503" t="s">
        <v>300</v>
      </c>
      <c r="B242" s="503"/>
      <c r="C242" s="285"/>
      <c r="D242" s="285"/>
      <c r="E242" s="294" t="s">
        <v>387</v>
      </c>
      <c r="F242" s="294" t="s">
        <v>387</v>
      </c>
      <c r="G242" s="294" t="s">
        <v>387</v>
      </c>
      <c r="H242" s="294" t="s">
        <v>387</v>
      </c>
      <c r="I242" s="294" t="s">
        <v>387</v>
      </c>
      <c r="J242" s="297">
        <f>J241</f>
        <v>1528.8</v>
      </c>
      <c r="K242" s="297">
        <f>K241</f>
        <v>932.4</v>
      </c>
      <c r="L242" s="297">
        <f>L241</f>
        <v>932.4</v>
      </c>
      <c r="M242" s="44">
        <f>M241</f>
        <v>50</v>
      </c>
      <c r="N242" s="297">
        <f>N241</f>
        <v>2023990.89</v>
      </c>
      <c r="O242" s="297">
        <v>0</v>
      </c>
      <c r="P242" s="297">
        <v>0</v>
      </c>
      <c r="Q242" s="297">
        <v>0</v>
      </c>
      <c r="R242" s="297">
        <f>R241</f>
        <v>2023990.89</v>
      </c>
      <c r="S242" s="297">
        <f>N242/K242</f>
        <v>2170.7324002574001</v>
      </c>
      <c r="T242" s="294"/>
      <c r="U242" s="46"/>
    </row>
    <row r="243" spans="1:21" s="71" customFormat="1" ht="9" hidden="1" customHeight="1">
      <c r="A243" s="502" t="s">
        <v>295</v>
      </c>
      <c r="B243" s="502"/>
      <c r="C243" s="502"/>
      <c r="D243" s="502"/>
      <c r="E243" s="502"/>
      <c r="F243" s="502"/>
      <c r="G243" s="502"/>
      <c r="H243" s="502"/>
      <c r="I243" s="502"/>
      <c r="J243" s="502"/>
      <c r="K243" s="502"/>
      <c r="L243" s="502"/>
      <c r="M243" s="502"/>
      <c r="N243" s="502"/>
      <c r="O243" s="502"/>
      <c r="P243" s="502"/>
      <c r="Q243" s="502"/>
      <c r="R243" s="502"/>
      <c r="S243" s="502"/>
      <c r="T243" s="502"/>
      <c r="U243" s="502"/>
    </row>
    <row r="244" spans="1:21" s="71" customFormat="1" ht="9" hidden="1" customHeight="1">
      <c r="A244" s="294">
        <v>191</v>
      </c>
      <c r="B244" s="285" t="s">
        <v>315</v>
      </c>
      <c r="C244" s="294" t="s">
        <v>998</v>
      </c>
      <c r="D244" s="294"/>
      <c r="E244" s="294">
        <v>1973</v>
      </c>
      <c r="F244" s="294"/>
      <c r="G244" s="294" t="s">
        <v>87</v>
      </c>
      <c r="H244" s="294" t="s">
        <v>72</v>
      </c>
      <c r="I244" s="294" t="s">
        <v>72</v>
      </c>
      <c r="J244" s="297">
        <v>1779.6</v>
      </c>
      <c r="K244" s="297">
        <f>589.6+120</f>
        <v>709.6</v>
      </c>
      <c r="L244" s="297">
        <v>589.6</v>
      </c>
      <c r="M244" s="44">
        <v>21</v>
      </c>
      <c r="N244" s="297">
        <f>'Приложение 2'!E247</f>
        <v>2137661.38</v>
      </c>
      <c r="O244" s="297">
        <v>0</v>
      </c>
      <c r="P244" s="297">
        <v>0</v>
      </c>
      <c r="Q244" s="297">
        <v>0</v>
      </c>
      <c r="R244" s="297">
        <f>N244</f>
        <v>2137661.38</v>
      </c>
      <c r="S244" s="297">
        <f>N244/K244</f>
        <v>3012.4878523111611</v>
      </c>
      <c r="T244" s="297">
        <v>4503.95</v>
      </c>
      <c r="U244" s="46" t="s">
        <v>225</v>
      </c>
    </row>
    <row r="245" spans="1:21" s="71" customFormat="1" ht="21.75" hidden="1" customHeight="1">
      <c r="A245" s="503" t="s">
        <v>301</v>
      </c>
      <c r="B245" s="503"/>
      <c r="C245" s="285"/>
      <c r="D245" s="285"/>
      <c r="E245" s="294" t="s">
        <v>387</v>
      </c>
      <c r="F245" s="294" t="s">
        <v>387</v>
      </c>
      <c r="G245" s="294" t="s">
        <v>387</v>
      </c>
      <c r="H245" s="294" t="s">
        <v>387</v>
      </c>
      <c r="I245" s="294" t="s">
        <v>387</v>
      </c>
      <c r="J245" s="297">
        <v>1779.6</v>
      </c>
      <c r="K245" s="297">
        <v>708.6</v>
      </c>
      <c r="L245" s="297">
        <v>588.6</v>
      </c>
      <c r="M245" s="44">
        <v>21</v>
      </c>
      <c r="N245" s="297">
        <f>N244</f>
        <v>2137661.38</v>
      </c>
      <c r="O245" s="297">
        <v>0</v>
      </c>
      <c r="P245" s="297">
        <v>0</v>
      </c>
      <c r="Q245" s="297">
        <v>0</v>
      </c>
      <c r="R245" s="297">
        <f>R244</f>
        <v>2137661.38</v>
      </c>
      <c r="S245" s="297">
        <f>N245/K245</f>
        <v>3016.7391758396834</v>
      </c>
      <c r="T245" s="294"/>
      <c r="U245" s="46"/>
    </row>
    <row r="246" spans="1:21" s="71" customFormat="1" ht="9" hidden="1" customHeight="1">
      <c r="A246" s="509" t="s">
        <v>396</v>
      </c>
      <c r="B246" s="509"/>
      <c r="C246" s="509"/>
      <c r="D246" s="509"/>
      <c r="E246" s="509"/>
      <c r="F246" s="509"/>
      <c r="G246" s="509"/>
      <c r="H246" s="509"/>
      <c r="I246" s="509"/>
      <c r="J246" s="509"/>
      <c r="K246" s="509"/>
      <c r="L246" s="509"/>
      <c r="M246" s="509"/>
      <c r="N246" s="509"/>
      <c r="O246" s="509"/>
      <c r="P246" s="509"/>
      <c r="Q246" s="509"/>
      <c r="R246" s="509"/>
      <c r="S246" s="509"/>
      <c r="T246" s="509"/>
      <c r="U246" s="509"/>
    </row>
    <row r="247" spans="1:21" s="71" customFormat="1" ht="9" hidden="1" customHeight="1">
      <c r="A247" s="90">
        <v>192</v>
      </c>
      <c r="B247" s="91" t="s">
        <v>329</v>
      </c>
      <c r="C247" s="291" t="s">
        <v>998</v>
      </c>
      <c r="D247" s="291"/>
      <c r="E247" s="90">
        <v>1982</v>
      </c>
      <c r="F247" s="90"/>
      <c r="G247" s="90" t="s">
        <v>89</v>
      </c>
      <c r="H247" s="90">
        <v>2</v>
      </c>
      <c r="I247" s="90">
        <v>2</v>
      </c>
      <c r="J247" s="92">
        <v>1081.5999999999999</v>
      </c>
      <c r="K247" s="92">
        <v>599.29999999999995</v>
      </c>
      <c r="L247" s="92">
        <v>599.29999999999995</v>
      </c>
      <c r="M247" s="93">
        <v>22</v>
      </c>
      <c r="N247" s="92">
        <f>'Приложение 2'!E250</f>
        <v>2041266.72</v>
      </c>
      <c r="O247" s="92">
        <v>0</v>
      </c>
      <c r="P247" s="92">
        <v>0</v>
      </c>
      <c r="Q247" s="92">
        <v>0</v>
      </c>
      <c r="R247" s="92">
        <f>N247</f>
        <v>2041266.72</v>
      </c>
      <c r="S247" s="297">
        <f>N247/K247</f>
        <v>3406.0849657934259</v>
      </c>
      <c r="T247" s="297">
        <v>4503.95</v>
      </c>
      <c r="U247" s="94" t="s">
        <v>225</v>
      </c>
    </row>
    <row r="248" spans="1:21" s="71" customFormat="1" ht="9" hidden="1" customHeight="1">
      <c r="A248" s="90">
        <v>193</v>
      </c>
      <c r="B248" s="91" t="s">
        <v>332</v>
      </c>
      <c r="C248" s="291" t="s">
        <v>998</v>
      </c>
      <c r="D248" s="291"/>
      <c r="E248" s="90">
        <v>1965</v>
      </c>
      <c r="F248" s="90"/>
      <c r="G248" s="90" t="s">
        <v>87</v>
      </c>
      <c r="H248" s="90">
        <v>2</v>
      </c>
      <c r="I248" s="90">
        <v>1</v>
      </c>
      <c r="J248" s="92">
        <v>583.4</v>
      </c>
      <c r="K248" s="92">
        <v>524.4</v>
      </c>
      <c r="L248" s="92">
        <v>524.4</v>
      </c>
      <c r="M248" s="93">
        <v>15</v>
      </c>
      <c r="N248" s="92">
        <f>'Приложение 2'!E251</f>
        <v>1550689.88</v>
      </c>
      <c r="O248" s="92">
        <v>0</v>
      </c>
      <c r="P248" s="92">
        <v>0</v>
      </c>
      <c r="Q248" s="92">
        <v>0</v>
      </c>
      <c r="R248" s="92">
        <f>N248</f>
        <v>1550689.88</v>
      </c>
      <c r="S248" s="297">
        <f>N248/K248</f>
        <v>2957.0745232646832</v>
      </c>
      <c r="T248" s="297">
        <v>4503.95</v>
      </c>
      <c r="U248" s="94" t="s">
        <v>225</v>
      </c>
    </row>
    <row r="249" spans="1:21" s="71" customFormat="1" ht="20.25" hidden="1" customHeight="1">
      <c r="A249" s="517" t="s">
        <v>397</v>
      </c>
      <c r="B249" s="517"/>
      <c r="C249" s="291"/>
      <c r="D249" s="291"/>
      <c r="E249" s="294" t="s">
        <v>387</v>
      </c>
      <c r="F249" s="294" t="s">
        <v>387</v>
      </c>
      <c r="G249" s="294" t="s">
        <v>387</v>
      </c>
      <c r="H249" s="294" t="s">
        <v>387</v>
      </c>
      <c r="I249" s="294" t="s">
        <v>387</v>
      </c>
      <c r="J249" s="92">
        <f>J248+J247</f>
        <v>1665</v>
      </c>
      <c r="K249" s="92">
        <f>K248+K247</f>
        <v>1123.6999999999998</v>
      </c>
      <c r="L249" s="92">
        <f>L248+L247</f>
        <v>1123.6999999999998</v>
      </c>
      <c r="M249" s="93">
        <f>M248+M247</f>
        <v>37</v>
      </c>
      <c r="N249" s="92">
        <f>N248+N247</f>
        <v>3591956.5999999996</v>
      </c>
      <c r="O249" s="92">
        <v>0</v>
      </c>
      <c r="P249" s="92">
        <v>0</v>
      </c>
      <c r="Q249" s="92">
        <v>0</v>
      </c>
      <c r="R249" s="92">
        <f>SUM(R247:R248)</f>
        <v>3591956.5999999996</v>
      </c>
      <c r="S249" s="297">
        <f>N249/K249</f>
        <v>3196.5440953991279</v>
      </c>
      <c r="T249" s="90"/>
      <c r="U249" s="94"/>
    </row>
    <row r="250" spans="1:21" s="71" customFormat="1" ht="9" hidden="1" customHeight="1">
      <c r="A250" s="509" t="s">
        <v>327</v>
      </c>
      <c r="B250" s="509"/>
      <c r="C250" s="509"/>
      <c r="D250" s="509"/>
      <c r="E250" s="509"/>
      <c r="F250" s="509"/>
      <c r="G250" s="509"/>
      <c r="H250" s="509"/>
      <c r="I250" s="509"/>
      <c r="J250" s="509"/>
      <c r="K250" s="509"/>
      <c r="L250" s="509"/>
      <c r="M250" s="509"/>
      <c r="N250" s="509"/>
      <c r="O250" s="509"/>
      <c r="P250" s="509"/>
      <c r="Q250" s="509"/>
      <c r="R250" s="509"/>
      <c r="S250" s="509"/>
      <c r="T250" s="509"/>
      <c r="U250" s="509"/>
    </row>
    <row r="251" spans="1:21" s="71" customFormat="1" ht="9" hidden="1" customHeight="1">
      <c r="A251" s="90">
        <v>194</v>
      </c>
      <c r="B251" s="91" t="s">
        <v>330</v>
      </c>
      <c r="C251" s="291" t="s">
        <v>997</v>
      </c>
      <c r="D251" s="291"/>
      <c r="E251" s="90">
        <v>1994</v>
      </c>
      <c r="F251" s="290"/>
      <c r="G251" s="90" t="s">
        <v>89</v>
      </c>
      <c r="H251" s="90">
        <v>5</v>
      </c>
      <c r="I251" s="90">
        <v>6</v>
      </c>
      <c r="J251" s="92">
        <v>5721.7</v>
      </c>
      <c r="K251" s="90">
        <v>4263.7</v>
      </c>
      <c r="L251" s="90">
        <v>4263.7</v>
      </c>
      <c r="M251" s="90">
        <v>179</v>
      </c>
      <c r="N251" s="92">
        <f>'Приложение 2'!E254</f>
        <v>3865908.46</v>
      </c>
      <c r="O251" s="92">
        <v>0</v>
      </c>
      <c r="P251" s="92">
        <v>0</v>
      </c>
      <c r="Q251" s="92">
        <v>0</v>
      </c>
      <c r="R251" s="92">
        <f>N251</f>
        <v>3865908.46</v>
      </c>
      <c r="S251" s="297">
        <f>N251/K251</f>
        <v>906.70273705936165</v>
      </c>
      <c r="T251" s="297">
        <v>4180</v>
      </c>
      <c r="U251" s="94" t="s">
        <v>225</v>
      </c>
    </row>
    <row r="252" spans="1:21" s="71" customFormat="1" ht="9" hidden="1" customHeight="1">
      <c r="A252" s="90">
        <v>195</v>
      </c>
      <c r="B252" s="91" t="s">
        <v>331</v>
      </c>
      <c r="C252" s="291" t="s">
        <v>997</v>
      </c>
      <c r="D252" s="291"/>
      <c r="E252" s="90">
        <v>1981</v>
      </c>
      <c r="F252" s="90"/>
      <c r="G252" s="90" t="s">
        <v>87</v>
      </c>
      <c r="H252" s="90">
        <v>5</v>
      </c>
      <c r="I252" s="90">
        <v>6</v>
      </c>
      <c r="J252" s="92">
        <v>4358</v>
      </c>
      <c r="K252" s="95">
        <v>2648.9</v>
      </c>
      <c r="L252" s="95">
        <v>2648.9</v>
      </c>
      <c r="M252" s="90">
        <v>129</v>
      </c>
      <c r="N252" s="92">
        <f>'Приложение 2'!E255</f>
        <v>2731177.68</v>
      </c>
      <c r="O252" s="92">
        <v>0</v>
      </c>
      <c r="P252" s="92">
        <v>0</v>
      </c>
      <c r="Q252" s="92">
        <v>0</v>
      </c>
      <c r="R252" s="92">
        <f>N252</f>
        <v>2731177.68</v>
      </c>
      <c r="S252" s="297">
        <f>N252/K252</f>
        <v>1031.0610744082448</v>
      </c>
      <c r="T252" s="297">
        <v>4180</v>
      </c>
      <c r="U252" s="94" t="s">
        <v>225</v>
      </c>
    </row>
    <row r="253" spans="1:21" s="71" customFormat="1" ht="21.75" hidden="1" customHeight="1">
      <c r="A253" s="517" t="s">
        <v>328</v>
      </c>
      <c r="B253" s="517"/>
      <c r="C253" s="90"/>
      <c r="D253" s="90"/>
      <c r="E253" s="294" t="s">
        <v>387</v>
      </c>
      <c r="F253" s="294" t="s">
        <v>387</v>
      </c>
      <c r="G253" s="294" t="s">
        <v>387</v>
      </c>
      <c r="H253" s="294" t="s">
        <v>387</v>
      </c>
      <c r="I253" s="294" t="s">
        <v>387</v>
      </c>
      <c r="J253" s="92">
        <f t="shared" ref="J253:R253" si="46">SUM(J251:J252)</f>
        <v>10079.700000000001</v>
      </c>
      <c r="K253" s="92">
        <f t="shared" si="46"/>
        <v>6912.6</v>
      </c>
      <c r="L253" s="92">
        <f t="shared" si="46"/>
        <v>6912.6</v>
      </c>
      <c r="M253" s="44">
        <f t="shared" si="46"/>
        <v>308</v>
      </c>
      <c r="N253" s="92">
        <f t="shared" si="46"/>
        <v>6597086.1400000006</v>
      </c>
      <c r="O253" s="92">
        <f t="shared" si="46"/>
        <v>0</v>
      </c>
      <c r="P253" s="92">
        <f t="shared" si="46"/>
        <v>0</v>
      </c>
      <c r="Q253" s="92">
        <f t="shared" si="46"/>
        <v>0</v>
      </c>
      <c r="R253" s="92">
        <f t="shared" si="46"/>
        <v>6597086.1400000006</v>
      </c>
      <c r="S253" s="297">
        <f>N253/K253</f>
        <v>954.35670225385536</v>
      </c>
      <c r="T253" s="90"/>
      <c r="U253" s="94"/>
    </row>
    <row r="254" spans="1:21" s="71" customFormat="1" ht="9" hidden="1" customHeight="1">
      <c r="A254" s="502" t="s">
        <v>401</v>
      </c>
      <c r="B254" s="502"/>
      <c r="C254" s="502"/>
      <c r="D254" s="502"/>
      <c r="E254" s="502"/>
      <c r="F254" s="502"/>
      <c r="G254" s="502"/>
      <c r="H254" s="502"/>
      <c r="I254" s="502"/>
      <c r="J254" s="502"/>
      <c r="K254" s="502"/>
      <c r="L254" s="502"/>
      <c r="M254" s="502"/>
      <c r="N254" s="502"/>
      <c r="O254" s="502"/>
      <c r="P254" s="502"/>
      <c r="Q254" s="502"/>
      <c r="R254" s="502"/>
      <c r="S254" s="502"/>
      <c r="T254" s="502"/>
      <c r="U254" s="502"/>
    </row>
    <row r="255" spans="1:21" s="71" customFormat="1" ht="9" hidden="1" customHeight="1">
      <c r="A255" s="294">
        <v>196</v>
      </c>
      <c r="B255" s="285" t="s">
        <v>403</v>
      </c>
      <c r="C255" s="294" t="s">
        <v>998</v>
      </c>
      <c r="D255" s="294"/>
      <c r="E255" s="294">
        <v>1959</v>
      </c>
      <c r="F255" s="294"/>
      <c r="G255" s="294" t="s">
        <v>87</v>
      </c>
      <c r="H255" s="294" t="s">
        <v>72</v>
      </c>
      <c r="I255" s="294" t="s">
        <v>72</v>
      </c>
      <c r="J255" s="297">
        <v>1003.5</v>
      </c>
      <c r="K255" s="297">
        <v>804.01</v>
      </c>
      <c r="L255" s="297">
        <v>733.21</v>
      </c>
      <c r="M255" s="294">
        <v>32</v>
      </c>
      <c r="N255" s="297">
        <f>'Приложение 2'!E258</f>
        <v>2050199.17</v>
      </c>
      <c r="O255" s="297">
        <v>0</v>
      </c>
      <c r="P255" s="297">
        <v>0</v>
      </c>
      <c r="Q255" s="297">
        <v>0</v>
      </c>
      <c r="R255" s="297">
        <f>N255</f>
        <v>2050199.17</v>
      </c>
      <c r="S255" s="297">
        <f>N255/K255</f>
        <v>2549.9672516510986</v>
      </c>
      <c r="T255" s="297">
        <v>4503.95</v>
      </c>
      <c r="U255" s="46" t="s">
        <v>225</v>
      </c>
    </row>
    <row r="256" spans="1:21" s="71" customFormat="1" ht="20.25" hidden="1" customHeight="1">
      <c r="A256" s="503" t="s">
        <v>402</v>
      </c>
      <c r="B256" s="503"/>
      <c r="C256" s="285"/>
      <c r="D256" s="285"/>
      <c r="E256" s="294" t="s">
        <v>387</v>
      </c>
      <c r="F256" s="294" t="s">
        <v>387</v>
      </c>
      <c r="G256" s="294" t="s">
        <v>387</v>
      </c>
      <c r="H256" s="294" t="s">
        <v>387</v>
      </c>
      <c r="I256" s="294" t="s">
        <v>387</v>
      </c>
      <c r="J256" s="297">
        <f t="shared" ref="J256:R256" si="47">SUM(J255:J255)</f>
        <v>1003.5</v>
      </c>
      <c r="K256" s="297">
        <f t="shared" si="47"/>
        <v>804.01</v>
      </c>
      <c r="L256" s="297">
        <f t="shared" si="47"/>
        <v>733.21</v>
      </c>
      <c r="M256" s="44">
        <f t="shared" si="47"/>
        <v>32</v>
      </c>
      <c r="N256" s="297">
        <f t="shared" si="47"/>
        <v>2050199.17</v>
      </c>
      <c r="O256" s="297">
        <f t="shared" si="47"/>
        <v>0</v>
      </c>
      <c r="P256" s="297">
        <f t="shared" si="47"/>
        <v>0</v>
      </c>
      <c r="Q256" s="297">
        <f t="shared" si="47"/>
        <v>0</v>
      </c>
      <c r="R256" s="297">
        <f t="shared" si="47"/>
        <v>2050199.17</v>
      </c>
      <c r="S256" s="297">
        <f>N256/K256</f>
        <v>2549.9672516510986</v>
      </c>
      <c r="T256" s="294"/>
      <c r="U256" s="46"/>
    </row>
    <row r="257" spans="1:21" s="71" customFormat="1" ht="9" hidden="1" customHeight="1">
      <c r="A257" s="502" t="s">
        <v>423</v>
      </c>
      <c r="B257" s="502"/>
      <c r="C257" s="502"/>
      <c r="D257" s="502"/>
      <c r="E257" s="502"/>
      <c r="F257" s="502"/>
      <c r="G257" s="502"/>
      <c r="H257" s="502"/>
      <c r="I257" s="502"/>
      <c r="J257" s="502"/>
      <c r="K257" s="502"/>
      <c r="L257" s="502"/>
      <c r="M257" s="502"/>
      <c r="N257" s="502"/>
      <c r="O257" s="502"/>
      <c r="P257" s="502"/>
      <c r="Q257" s="502"/>
      <c r="R257" s="502"/>
      <c r="S257" s="502"/>
      <c r="T257" s="502"/>
      <c r="U257" s="502"/>
    </row>
    <row r="258" spans="1:21" s="71" customFormat="1" ht="9" hidden="1" customHeight="1">
      <c r="A258" s="294">
        <v>197</v>
      </c>
      <c r="B258" s="68" t="s">
        <v>409</v>
      </c>
      <c r="C258" s="285" t="s">
        <v>997</v>
      </c>
      <c r="D258" s="285"/>
      <c r="E258" s="294">
        <v>1979</v>
      </c>
      <c r="F258" s="286"/>
      <c r="G258" s="294" t="s">
        <v>89</v>
      </c>
      <c r="H258" s="294">
        <v>5</v>
      </c>
      <c r="I258" s="294">
        <v>6</v>
      </c>
      <c r="J258" s="61">
        <v>5615.9</v>
      </c>
      <c r="K258" s="61">
        <v>4523.8999999999996</v>
      </c>
      <c r="L258" s="61">
        <v>4260.8</v>
      </c>
      <c r="M258" s="294">
        <v>192</v>
      </c>
      <c r="N258" s="297">
        <f>'Приложение 2'!E261</f>
        <v>4206410</v>
      </c>
      <c r="O258" s="297">
        <v>0</v>
      </c>
      <c r="P258" s="297">
        <v>0</v>
      </c>
      <c r="Q258" s="297">
        <v>0</v>
      </c>
      <c r="R258" s="297">
        <f t="shared" ref="R258:R263" si="48">N258</f>
        <v>4206410</v>
      </c>
      <c r="S258" s="297">
        <f t="shared" ref="S258:S263" si="49">N258/K258</f>
        <v>929.81940361192778</v>
      </c>
      <c r="T258" s="297">
        <v>4180</v>
      </c>
      <c r="U258" s="46" t="s">
        <v>225</v>
      </c>
    </row>
    <row r="259" spans="1:21" s="71" customFormat="1" ht="9" hidden="1" customHeight="1">
      <c r="A259" s="294">
        <v>198</v>
      </c>
      <c r="B259" s="68" t="s">
        <v>368</v>
      </c>
      <c r="C259" s="285" t="s">
        <v>997</v>
      </c>
      <c r="D259" s="285"/>
      <c r="E259" s="294">
        <v>1988</v>
      </c>
      <c r="F259" s="294"/>
      <c r="G259" s="294" t="s">
        <v>241</v>
      </c>
      <c r="H259" s="294">
        <v>5</v>
      </c>
      <c r="I259" s="294">
        <v>8</v>
      </c>
      <c r="J259" s="297">
        <v>5752.2</v>
      </c>
      <c r="K259" s="297">
        <v>4929.2</v>
      </c>
      <c r="L259" s="297">
        <v>4871</v>
      </c>
      <c r="M259" s="44">
        <v>250</v>
      </c>
      <c r="N259" s="297">
        <f>'Приложение 2'!E262</f>
        <v>4363425.54</v>
      </c>
      <c r="O259" s="297">
        <v>0</v>
      </c>
      <c r="P259" s="297">
        <v>0</v>
      </c>
      <c r="Q259" s="297">
        <v>0</v>
      </c>
      <c r="R259" s="297">
        <f t="shared" si="48"/>
        <v>4363425.54</v>
      </c>
      <c r="S259" s="297">
        <f>N259/K259</f>
        <v>885.21982066055352</v>
      </c>
      <c r="T259" s="297">
        <v>4180</v>
      </c>
      <c r="U259" s="46" t="s">
        <v>225</v>
      </c>
    </row>
    <row r="260" spans="1:21" s="71" customFormat="1" ht="9" hidden="1" customHeight="1">
      <c r="A260" s="294">
        <v>199</v>
      </c>
      <c r="B260" s="68" t="s">
        <v>333</v>
      </c>
      <c r="C260" s="285" t="s">
        <v>997</v>
      </c>
      <c r="D260" s="285"/>
      <c r="E260" s="294">
        <v>1974</v>
      </c>
      <c r="F260" s="294"/>
      <c r="G260" s="294" t="s">
        <v>241</v>
      </c>
      <c r="H260" s="294">
        <v>5</v>
      </c>
      <c r="I260" s="294">
        <v>4</v>
      </c>
      <c r="J260" s="297">
        <v>4325</v>
      </c>
      <c r="K260" s="297">
        <v>3395</v>
      </c>
      <c r="L260" s="297">
        <v>3395</v>
      </c>
      <c r="M260" s="44">
        <v>152</v>
      </c>
      <c r="N260" s="297">
        <f>'Приложение 2'!E263</f>
        <v>3629686.28</v>
      </c>
      <c r="O260" s="297">
        <v>0</v>
      </c>
      <c r="P260" s="297">
        <v>0</v>
      </c>
      <c r="Q260" s="297">
        <v>0</v>
      </c>
      <c r="R260" s="297">
        <f t="shared" si="48"/>
        <v>3629686.28</v>
      </c>
      <c r="S260" s="297">
        <f t="shared" si="49"/>
        <v>1069.1270338733432</v>
      </c>
      <c r="T260" s="297">
        <v>4180</v>
      </c>
      <c r="U260" s="46" t="s">
        <v>225</v>
      </c>
    </row>
    <row r="261" spans="1:21" s="71" customFormat="1" ht="9" hidden="1" customHeight="1">
      <c r="A261" s="294">
        <v>200</v>
      </c>
      <c r="B261" s="68" t="s">
        <v>336</v>
      </c>
      <c r="C261" s="285" t="s">
        <v>998</v>
      </c>
      <c r="D261" s="285"/>
      <c r="E261" s="294">
        <v>1976</v>
      </c>
      <c r="F261" s="294"/>
      <c r="G261" s="294" t="s">
        <v>241</v>
      </c>
      <c r="H261" s="294">
        <v>2</v>
      </c>
      <c r="I261" s="294">
        <v>3</v>
      </c>
      <c r="J261" s="297">
        <v>989.8</v>
      </c>
      <c r="K261" s="297">
        <v>906.6</v>
      </c>
      <c r="L261" s="297">
        <v>906.6</v>
      </c>
      <c r="M261" s="44">
        <v>36</v>
      </c>
      <c r="N261" s="297">
        <f>'Приложение 2'!E264</f>
        <v>2417022.98</v>
      </c>
      <c r="O261" s="297">
        <v>0</v>
      </c>
      <c r="P261" s="297">
        <v>0</v>
      </c>
      <c r="Q261" s="297">
        <v>0</v>
      </c>
      <c r="R261" s="297">
        <f t="shared" si="48"/>
        <v>2417022.98</v>
      </c>
      <c r="S261" s="297">
        <f t="shared" si="49"/>
        <v>2666.030200750055</v>
      </c>
      <c r="T261" s="297">
        <v>4503.95</v>
      </c>
      <c r="U261" s="46" t="s">
        <v>225</v>
      </c>
    </row>
    <row r="262" spans="1:21" s="71" customFormat="1" ht="9" hidden="1" customHeight="1">
      <c r="A262" s="294">
        <v>201</v>
      </c>
      <c r="B262" s="68" t="s">
        <v>334</v>
      </c>
      <c r="C262" s="285" t="s">
        <v>998</v>
      </c>
      <c r="D262" s="285"/>
      <c r="E262" s="294">
        <v>1960</v>
      </c>
      <c r="F262" s="294"/>
      <c r="G262" s="294" t="s">
        <v>241</v>
      </c>
      <c r="H262" s="294">
        <v>2</v>
      </c>
      <c r="I262" s="294">
        <v>2</v>
      </c>
      <c r="J262" s="297">
        <v>435.8</v>
      </c>
      <c r="K262" s="297">
        <v>397.4</v>
      </c>
      <c r="L262" s="297">
        <v>397.4</v>
      </c>
      <c r="M262" s="44">
        <v>15</v>
      </c>
      <c r="N262" s="297">
        <f>'Приложение 2'!E265</f>
        <v>1226713.3700000001</v>
      </c>
      <c r="O262" s="297">
        <v>0</v>
      </c>
      <c r="P262" s="297">
        <v>0</v>
      </c>
      <c r="Q262" s="297">
        <v>0</v>
      </c>
      <c r="R262" s="297">
        <f t="shared" si="48"/>
        <v>1226713.3700000001</v>
      </c>
      <c r="S262" s="297">
        <f t="shared" si="49"/>
        <v>3086.8479365878211</v>
      </c>
      <c r="T262" s="297">
        <v>4503.95</v>
      </c>
      <c r="U262" s="46" t="s">
        <v>225</v>
      </c>
    </row>
    <row r="263" spans="1:21" s="71" customFormat="1" ht="9" hidden="1" customHeight="1">
      <c r="A263" s="294">
        <v>202</v>
      </c>
      <c r="B263" s="68" t="s">
        <v>335</v>
      </c>
      <c r="C263" s="285" t="s">
        <v>998</v>
      </c>
      <c r="D263" s="285"/>
      <c r="E263" s="294">
        <v>1964</v>
      </c>
      <c r="F263" s="294"/>
      <c r="G263" s="294" t="s">
        <v>337</v>
      </c>
      <c r="H263" s="294">
        <v>2</v>
      </c>
      <c r="I263" s="294">
        <v>2</v>
      </c>
      <c r="J263" s="297">
        <v>545.70000000000005</v>
      </c>
      <c r="K263" s="297">
        <v>500.7</v>
      </c>
      <c r="L263" s="297">
        <v>500.7</v>
      </c>
      <c r="M263" s="44">
        <v>23</v>
      </c>
      <c r="N263" s="297">
        <f>'Приложение 2'!E266</f>
        <v>1465530.74</v>
      </c>
      <c r="O263" s="297">
        <v>0</v>
      </c>
      <c r="P263" s="297">
        <v>0</v>
      </c>
      <c r="Q263" s="297">
        <v>0</v>
      </c>
      <c r="R263" s="297">
        <f t="shared" si="48"/>
        <v>1465530.74</v>
      </c>
      <c r="S263" s="297">
        <f t="shared" si="49"/>
        <v>2926.9637307769121</v>
      </c>
      <c r="T263" s="297">
        <v>4503.95</v>
      </c>
      <c r="U263" s="46" t="s">
        <v>225</v>
      </c>
    </row>
    <row r="264" spans="1:21" s="71" customFormat="1" ht="21" hidden="1" customHeight="1">
      <c r="A264" s="503" t="s">
        <v>424</v>
      </c>
      <c r="B264" s="503"/>
      <c r="C264" s="285"/>
      <c r="D264" s="285"/>
      <c r="E264" s="54" t="s">
        <v>387</v>
      </c>
      <c r="F264" s="54" t="s">
        <v>387</v>
      </c>
      <c r="G264" s="54" t="s">
        <v>387</v>
      </c>
      <c r="H264" s="54" t="s">
        <v>387</v>
      </c>
      <c r="I264" s="54" t="s">
        <v>387</v>
      </c>
      <c r="J264" s="297">
        <f t="shared" ref="J264:R264" si="50">SUM(J258:J263)</f>
        <v>17664.399999999998</v>
      </c>
      <c r="K264" s="297">
        <f t="shared" si="50"/>
        <v>14652.8</v>
      </c>
      <c r="L264" s="297">
        <f t="shared" si="50"/>
        <v>14331.5</v>
      </c>
      <c r="M264" s="44">
        <f t="shared" si="50"/>
        <v>668</v>
      </c>
      <c r="N264" s="297">
        <f t="shared" si="50"/>
        <v>17308788.909999996</v>
      </c>
      <c r="O264" s="297">
        <f t="shared" si="50"/>
        <v>0</v>
      </c>
      <c r="P264" s="297">
        <f t="shared" si="50"/>
        <v>0</v>
      </c>
      <c r="Q264" s="297">
        <f t="shared" si="50"/>
        <v>0</v>
      </c>
      <c r="R264" s="297">
        <f t="shared" si="50"/>
        <v>17308788.909999996</v>
      </c>
      <c r="S264" s="297">
        <f>N264/K264</f>
        <v>1181.2615274896264</v>
      </c>
      <c r="T264" s="294"/>
      <c r="U264" s="46"/>
    </row>
    <row r="265" spans="1:21" s="71" customFormat="1" ht="9" hidden="1" customHeight="1">
      <c r="A265" s="502" t="s">
        <v>338</v>
      </c>
      <c r="B265" s="502"/>
      <c r="C265" s="502"/>
      <c r="D265" s="502"/>
      <c r="E265" s="502"/>
      <c r="F265" s="502"/>
      <c r="G265" s="502"/>
      <c r="H265" s="502"/>
      <c r="I265" s="502"/>
      <c r="J265" s="502"/>
      <c r="K265" s="502"/>
      <c r="L265" s="502"/>
      <c r="M265" s="502"/>
      <c r="N265" s="502"/>
      <c r="O265" s="502"/>
      <c r="P265" s="502"/>
      <c r="Q265" s="502"/>
      <c r="R265" s="502"/>
      <c r="S265" s="502"/>
      <c r="T265" s="502"/>
      <c r="U265" s="502"/>
    </row>
    <row r="266" spans="1:21" s="71" customFormat="1" ht="9" hidden="1" customHeight="1">
      <c r="A266" s="294">
        <v>203</v>
      </c>
      <c r="B266" s="68" t="s">
        <v>340</v>
      </c>
      <c r="C266" s="285" t="s">
        <v>998</v>
      </c>
      <c r="D266" s="285"/>
      <c r="E266" s="294">
        <v>1962</v>
      </c>
      <c r="F266" s="294"/>
      <c r="G266" s="294" t="s">
        <v>87</v>
      </c>
      <c r="H266" s="294">
        <v>2</v>
      </c>
      <c r="I266" s="294">
        <v>1</v>
      </c>
      <c r="J266" s="61">
        <v>224.7</v>
      </c>
      <c r="K266" s="61">
        <v>220.9</v>
      </c>
      <c r="L266" s="61">
        <v>189.6</v>
      </c>
      <c r="M266" s="294">
        <v>7</v>
      </c>
      <c r="N266" s="297">
        <f>'Приложение 2'!E269</f>
        <v>942574.3</v>
      </c>
      <c r="O266" s="297">
        <v>0</v>
      </c>
      <c r="P266" s="297">
        <v>0</v>
      </c>
      <c r="Q266" s="297">
        <v>0</v>
      </c>
      <c r="R266" s="297">
        <f>N266</f>
        <v>942574.3</v>
      </c>
      <c r="S266" s="297">
        <f>N266/K266</f>
        <v>4266.9728383884112</v>
      </c>
      <c r="T266" s="297">
        <v>4503.95</v>
      </c>
      <c r="U266" s="46" t="s">
        <v>225</v>
      </c>
    </row>
    <row r="267" spans="1:21" s="71" customFormat="1" ht="9" hidden="1" customHeight="1">
      <c r="A267" s="294">
        <v>204</v>
      </c>
      <c r="B267" s="68" t="s">
        <v>341</v>
      </c>
      <c r="C267" s="285" t="s">
        <v>998</v>
      </c>
      <c r="D267" s="285"/>
      <c r="E267" s="294">
        <v>1966</v>
      </c>
      <c r="F267" s="294"/>
      <c r="G267" s="294" t="s">
        <v>87</v>
      </c>
      <c r="H267" s="294">
        <v>2</v>
      </c>
      <c r="I267" s="294">
        <v>2</v>
      </c>
      <c r="J267" s="297">
        <v>528.9</v>
      </c>
      <c r="K267" s="297">
        <v>527.70000000000005</v>
      </c>
      <c r="L267" s="297">
        <v>288.5</v>
      </c>
      <c r="M267" s="44">
        <v>17</v>
      </c>
      <c r="N267" s="297">
        <f>'Приложение 2'!E270</f>
        <v>1650167.8</v>
      </c>
      <c r="O267" s="297">
        <v>0</v>
      </c>
      <c r="P267" s="297">
        <v>0</v>
      </c>
      <c r="Q267" s="297">
        <v>0</v>
      </c>
      <c r="R267" s="297">
        <f>N267</f>
        <v>1650167.8</v>
      </c>
      <c r="S267" s="297">
        <f>N267/K267</f>
        <v>3127.0945613037711</v>
      </c>
      <c r="T267" s="297">
        <v>4503.95</v>
      </c>
      <c r="U267" s="46" t="s">
        <v>225</v>
      </c>
    </row>
    <row r="268" spans="1:21" s="71" customFormat="1" ht="20.25" hidden="1" customHeight="1">
      <c r="A268" s="503" t="s">
        <v>339</v>
      </c>
      <c r="B268" s="503"/>
      <c r="C268" s="285"/>
      <c r="D268" s="285"/>
      <c r="E268" s="54" t="s">
        <v>387</v>
      </c>
      <c r="F268" s="54" t="s">
        <v>387</v>
      </c>
      <c r="G268" s="54" t="s">
        <v>387</v>
      </c>
      <c r="H268" s="54" t="s">
        <v>387</v>
      </c>
      <c r="I268" s="54" t="s">
        <v>387</v>
      </c>
      <c r="J268" s="297">
        <f t="shared" ref="J268:R268" si="51">SUM(J266:J267)</f>
        <v>753.59999999999991</v>
      </c>
      <c r="K268" s="297">
        <f t="shared" si="51"/>
        <v>748.6</v>
      </c>
      <c r="L268" s="297">
        <f t="shared" si="51"/>
        <v>478.1</v>
      </c>
      <c r="M268" s="44">
        <f t="shared" si="51"/>
        <v>24</v>
      </c>
      <c r="N268" s="297">
        <f t="shared" si="51"/>
        <v>2592742.1</v>
      </c>
      <c r="O268" s="297">
        <f t="shared" si="51"/>
        <v>0</v>
      </c>
      <c r="P268" s="297">
        <f t="shared" si="51"/>
        <v>0</v>
      </c>
      <c r="Q268" s="297">
        <f t="shared" si="51"/>
        <v>0</v>
      </c>
      <c r="R268" s="297">
        <f t="shared" si="51"/>
        <v>2592742.1</v>
      </c>
      <c r="S268" s="297">
        <f>N268/K268</f>
        <v>3463.4545818861875</v>
      </c>
      <c r="T268" s="294"/>
      <c r="U268" s="46"/>
    </row>
    <row r="269" spans="1:21" s="71" customFormat="1" ht="9" hidden="1" customHeight="1">
      <c r="A269" s="502" t="s">
        <v>342</v>
      </c>
      <c r="B269" s="502"/>
      <c r="C269" s="502"/>
      <c r="D269" s="502"/>
      <c r="E269" s="502"/>
      <c r="F269" s="502"/>
      <c r="G269" s="502"/>
      <c r="H269" s="502"/>
      <c r="I269" s="502"/>
      <c r="J269" s="502"/>
      <c r="K269" s="502"/>
      <c r="L269" s="502"/>
      <c r="M269" s="502"/>
      <c r="N269" s="502"/>
      <c r="O269" s="502"/>
      <c r="P269" s="502"/>
      <c r="Q269" s="502"/>
      <c r="R269" s="502"/>
      <c r="S269" s="502"/>
      <c r="T269" s="502"/>
      <c r="U269" s="502"/>
    </row>
    <row r="270" spans="1:21" s="71" customFormat="1" ht="9" hidden="1" customHeight="1">
      <c r="A270" s="294">
        <v>205</v>
      </c>
      <c r="B270" s="68" t="s">
        <v>345</v>
      </c>
      <c r="C270" s="285" t="s">
        <v>998</v>
      </c>
      <c r="D270" s="285"/>
      <c r="E270" s="294">
        <v>1960</v>
      </c>
      <c r="F270" s="294"/>
      <c r="G270" s="294" t="s">
        <v>87</v>
      </c>
      <c r="H270" s="294" t="s">
        <v>72</v>
      </c>
      <c r="I270" s="294" t="s">
        <v>72</v>
      </c>
      <c r="J270" s="297">
        <v>594.9</v>
      </c>
      <c r="K270" s="297">
        <v>562.6</v>
      </c>
      <c r="L270" s="297">
        <v>480.5</v>
      </c>
      <c r="M270" s="44">
        <v>16</v>
      </c>
      <c r="N270" s="297">
        <f>'Приложение 2'!E273</f>
        <v>1838962.93</v>
      </c>
      <c r="O270" s="297">
        <v>0</v>
      </c>
      <c r="P270" s="297">
        <v>0</v>
      </c>
      <c r="Q270" s="297">
        <v>0</v>
      </c>
      <c r="R270" s="297">
        <f t="shared" ref="R270:R273" si="52">N270-Q270</f>
        <v>1838962.93</v>
      </c>
      <c r="S270" s="297">
        <f>N270/K270</f>
        <v>3268.6863313188765</v>
      </c>
      <c r="T270" s="297">
        <v>4503.95</v>
      </c>
      <c r="U270" s="46" t="s">
        <v>225</v>
      </c>
    </row>
    <row r="271" spans="1:21" s="71" customFormat="1" ht="9" hidden="1" customHeight="1">
      <c r="A271" s="294">
        <v>206</v>
      </c>
      <c r="B271" s="68" t="s">
        <v>346</v>
      </c>
      <c r="C271" s="285" t="s">
        <v>998</v>
      </c>
      <c r="D271" s="285"/>
      <c r="E271" s="294">
        <v>1969</v>
      </c>
      <c r="F271" s="294"/>
      <c r="G271" s="294" t="s">
        <v>87</v>
      </c>
      <c r="H271" s="294">
        <v>2</v>
      </c>
      <c r="I271" s="294">
        <v>1</v>
      </c>
      <c r="J271" s="297">
        <v>528.79999999999995</v>
      </c>
      <c r="K271" s="297">
        <v>440</v>
      </c>
      <c r="L271" s="297">
        <v>319.5</v>
      </c>
      <c r="M271" s="44">
        <v>21</v>
      </c>
      <c r="N271" s="297">
        <f>'Приложение 2'!E274</f>
        <v>1570295.59</v>
      </c>
      <c r="O271" s="297">
        <v>0</v>
      </c>
      <c r="P271" s="297">
        <v>0</v>
      </c>
      <c r="Q271" s="297">
        <v>0</v>
      </c>
      <c r="R271" s="297">
        <f t="shared" si="52"/>
        <v>1570295.59</v>
      </c>
      <c r="S271" s="297">
        <f>N271/K271</f>
        <v>3568.8536136363637</v>
      </c>
      <c r="T271" s="297">
        <v>4503.95</v>
      </c>
      <c r="U271" s="46" t="s">
        <v>225</v>
      </c>
    </row>
    <row r="272" spans="1:21" s="71" customFormat="1" ht="9" hidden="1" customHeight="1">
      <c r="A272" s="294">
        <v>207</v>
      </c>
      <c r="B272" s="68" t="s">
        <v>344</v>
      </c>
      <c r="C272" s="285" t="s">
        <v>997</v>
      </c>
      <c r="D272" s="285"/>
      <c r="E272" s="294">
        <v>1987</v>
      </c>
      <c r="F272" s="294"/>
      <c r="G272" s="294" t="s">
        <v>87</v>
      </c>
      <c r="H272" s="294">
        <v>3</v>
      </c>
      <c r="I272" s="294">
        <v>3</v>
      </c>
      <c r="J272" s="297">
        <v>1282.5</v>
      </c>
      <c r="K272" s="297">
        <v>1174.5</v>
      </c>
      <c r="L272" s="297">
        <v>1124.5999999999999</v>
      </c>
      <c r="M272" s="44">
        <v>42</v>
      </c>
      <c r="N272" s="297">
        <f>'Приложение 2'!E275</f>
        <v>2207655.35</v>
      </c>
      <c r="O272" s="297">
        <v>0</v>
      </c>
      <c r="P272" s="297">
        <v>0</v>
      </c>
      <c r="Q272" s="297">
        <v>0</v>
      </c>
      <c r="R272" s="297">
        <f t="shared" si="52"/>
        <v>2207655.35</v>
      </c>
      <c r="S272" s="297">
        <f>N272/K272</f>
        <v>1879.6554704129417</v>
      </c>
      <c r="T272" s="297">
        <v>4180</v>
      </c>
      <c r="U272" s="46" t="s">
        <v>225</v>
      </c>
    </row>
    <row r="273" spans="1:21" s="71" customFormat="1" ht="9" hidden="1" customHeight="1">
      <c r="A273" s="294">
        <v>208</v>
      </c>
      <c r="B273" s="68" t="s">
        <v>347</v>
      </c>
      <c r="C273" s="285" t="s">
        <v>998</v>
      </c>
      <c r="D273" s="285"/>
      <c r="E273" s="294">
        <v>1964</v>
      </c>
      <c r="F273" s="294"/>
      <c r="G273" s="294" t="s">
        <v>87</v>
      </c>
      <c r="H273" s="294">
        <v>2</v>
      </c>
      <c r="I273" s="294">
        <v>1</v>
      </c>
      <c r="J273" s="297">
        <v>408.6</v>
      </c>
      <c r="K273" s="297">
        <v>369.2</v>
      </c>
      <c r="L273" s="297">
        <v>224.1</v>
      </c>
      <c r="M273" s="44">
        <v>7</v>
      </c>
      <c r="N273" s="297">
        <f>'Приложение 2'!E276</f>
        <v>1260678.97</v>
      </c>
      <c r="O273" s="297">
        <v>0</v>
      </c>
      <c r="P273" s="297">
        <v>0</v>
      </c>
      <c r="Q273" s="297">
        <v>0</v>
      </c>
      <c r="R273" s="297">
        <f t="shared" si="52"/>
        <v>1260678.97</v>
      </c>
      <c r="S273" s="297">
        <f>N273/K273</f>
        <v>3414.6234290357529</v>
      </c>
      <c r="T273" s="297">
        <v>4503.95</v>
      </c>
      <c r="U273" s="46" t="s">
        <v>225</v>
      </c>
    </row>
    <row r="274" spans="1:21" s="71" customFormat="1" ht="22.5" hidden="1" customHeight="1">
      <c r="A274" s="503" t="s">
        <v>996</v>
      </c>
      <c r="B274" s="503"/>
      <c r="C274" s="285"/>
      <c r="D274" s="285"/>
      <c r="E274" s="54" t="s">
        <v>387</v>
      </c>
      <c r="F274" s="54" t="s">
        <v>387</v>
      </c>
      <c r="G274" s="54" t="s">
        <v>387</v>
      </c>
      <c r="H274" s="54" t="s">
        <v>387</v>
      </c>
      <c r="I274" s="54" t="s">
        <v>387</v>
      </c>
      <c r="J274" s="297">
        <f t="shared" ref="J274:R274" si="53">SUM(J270:J273)</f>
        <v>2814.7999999999997</v>
      </c>
      <c r="K274" s="297">
        <f t="shared" si="53"/>
        <v>2546.2999999999997</v>
      </c>
      <c r="L274" s="297">
        <f t="shared" si="53"/>
        <v>2148.6999999999998</v>
      </c>
      <c r="M274" s="44">
        <f t="shared" si="53"/>
        <v>86</v>
      </c>
      <c r="N274" s="297">
        <f t="shared" si="53"/>
        <v>6877592.8399999999</v>
      </c>
      <c r="O274" s="297">
        <f t="shared" si="53"/>
        <v>0</v>
      </c>
      <c r="P274" s="297">
        <f t="shared" si="53"/>
        <v>0</v>
      </c>
      <c r="Q274" s="297">
        <f t="shared" si="53"/>
        <v>0</v>
      </c>
      <c r="R274" s="297">
        <f t="shared" si="53"/>
        <v>6877592.8399999999</v>
      </c>
      <c r="S274" s="297">
        <f>N274/K274</f>
        <v>2701.0143502336728</v>
      </c>
      <c r="T274" s="294"/>
      <c r="U274" s="46"/>
    </row>
    <row r="275" spans="1:21" s="71" customFormat="1" ht="9" hidden="1" customHeight="1">
      <c r="A275" s="502" t="s">
        <v>421</v>
      </c>
      <c r="B275" s="502"/>
      <c r="C275" s="502"/>
      <c r="D275" s="502"/>
      <c r="E275" s="502"/>
      <c r="F275" s="502"/>
      <c r="G275" s="502"/>
      <c r="H275" s="502"/>
      <c r="I275" s="502"/>
      <c r="J275" s="502"/>
      <c r="K275" s="502"/>
      <c r="L275" s="502"/>
      <c r="M275" s="502"/>
      <c r="N275" s="502"/>
      <c r="O275" s="502"/>
      <c r="P275" s="502"/>
      <c r="Q275" s="502"/>
      <c r="R275" s="502"/>
      <c r="S275" s="502"/>
      <c r="T275" s="502"/>
      <c r="U275" s="502"/>
    </row>
    <row r="276" spans="1:21" s="71" customFormat="1" ht="9" hidden="1" customHeight="1">
      <c r="A276" s="294">
        <v>209</v>
      </c>
      <c r="B276" s="68" t="s">
        <v>417</v>
      </c>
      <c r="C276" s="285" t="s">
        <v>998</v>
      </c>
      <c r="D276" s="285"/>
      <c r="E276" s="294">
        <v>1978</v>
      </c>
      <c r="F276" s="294"/>
      <c r="G276" s="294" t="s">
        <v>87</v>
      </c>
      <c r="H276" s="294">
        <v>2</v>
      </c>
      <c r="I276" s="294">
        <v>1</v>
      </c>
      <c r="J276" s="297">
        <v>390.1</v>
      </c>
      <c r="K276" s="297">
        <v>383.1</v>
      </c>
      <c r="L276" s="297">
        <v>234.3</v>
      </c>
      <c r="M276" s="44">
        <v>15</v>
      </c>
      <c r="N276" s="297">
        <f>'Приложение 2'!E279</f>
        <v>1406803.4</v>
      </c>
      <c r="O276" s="297">
        <v>0</v>
      </c>
      <c r="P276" s="297">
        <v>0</v>
      </c>
      <c r="Q276" s="297">
        <v>0</v>
      </c>
      <c r="R276" s="297">
        <f>N276</f>
        <v>1406803.4</v>
      </c>
      <c r="S276" s="297">
        <f>N276/K276</f>
        <v>3672.1571391281645</v>
      </c>
      <c r="T276" s="297">
        <v>4503.95</v>
      </c>
      <c r="U276" s="46" t="s">
        <v>225</v>
      </c>
    </row>
    <row r="277" spans="1:21" s="71" customFormat="1" ht="9" hidden="1" customHeight="1">
      <c r="A277" s="294">
        <v>210</v>
      </c>
      <c r="B277" s="68" t="s">
        <v>418</v>
      </c>
      <c r="C277" s="285" t="s">
        <v>998</v>
      </c>
      <c r="D277" s="285"/>
      <c r="E277" s="294">
        <v>1977</v>
      </c>
      <c r="F277" s="294"/>
      <c r="G277" s="294" t="s">
        <v>87</v>
      </c>
      <c r="H277" s="294">
        <v>2</v>
      </c>
      <c r="I277" s="294">
        <v>1</v>
      </c>
      <c r="J277" s="297">
        <v>394</v>
      </c>
      <c r="K277" s="297">
        <v>387.7</v>
      </c>
      <c r="L277" s="297">
        <v>234.3</v>
      </c>
      <c r="M277" s="44">
        <v>13</v>
      </c>
      <c r="N277" s="297">
        <f>'Приложение 2'!E280</f>
        <v>1406981.63</v>
      </c>
      <c r="O277" s="297">
        <v>0</v>
      </c>
      <c r="P277" s="297">
        <v>0</v>
      </c>
      <c r="Q277" s="297">
        <v>0</v>
      </c>
      <c r="R277" s="297">
        <f>N277</f>
        <v>1406981.63</v>
      </c>
      <c r="S277" s="297">
        <f>N277/K277</f>
        <v>3629.0472788238326</v>
      </c>
      <c r="T277" s="297">
        <v>4503.95</v>
      </c>
      <c r="U277" s="46" t="s">
        <v>225</v>
      </c>
    </row>
    <row r="278" spans="1:21" s="71" customFormat="1" ht="20.25" hidden="1" customHeight="1">
      <c r="A278" s="503" t="s">
        <v>420</v>
      </c>
      <c r="B278" s="503"/>
      <c r="C278" s="285"/>
      <c r="D278" s="285"/>
      <c r="E278" s="54" t="s">
        <v>387</v>
      </c>
      <c r="F278" s="54" t="s">
        <v>387</v>
      </c>
      <c r="G278" s="54" t="s">
        <v>387</v>
      </c>
      <c r="H278" s="54" t="s">
        <v>387</v>
      </c>
      <c r="I278" s="54" t="s">
        <v>387</v>
      </c>
      <c r="J278" s="297">
        <f t="shared" ref="J278:R278" si="54">SUM(J276:J277)</f>
        <v>784.1</v>
      </c>
      <c r="K278" s="297">
        <f t="shared" si="54"/>
        <v>770.8</v>
      </c>
      <c r="L278" s="297">
        <f t="shared" si="54"/>
        <v>468.6</v>
      </c>
      <c r="M278" s="44">
        <f t="shared" si="54"/>
        <v>28</v>
      </c>
      <c r="N278" s="297">
        <f t="shared" si="54"/>
        <v>2813785.03</v>
      </c>
      <c r="O278" s="297">
        <f t="shared" si="54"/>
        <v>0</v>
      </c>
      <c r="P278" s="297">
        <f t="shared" si="54"/>
        <v>0</v>
      </c>
      <c r="Q278" s="297">
        <f t="shared" si="54"/>
        <v>0</v>
      </c>
      <c r="R278" s="297">
        <f t="shared" si="54"/>
        <v>2813785.03</v>
      </c>
      <c r="S278" s="297">
        <f>N278/K278</f>
        <v>3650.4735729112608</v>
      </c>
      <c r="T278" s="297"/>
      <c r="U278" s="297"/>
    </row>
    <row r="279" spans="1:21" s="71" customFormat="1" ht="9" hidden="1" customHeight="1">
      <c r="A279" s="502" t="s">
        <v>349</v>
      </c>
      <c r="B279" s="502"/>
      <c r="C279" s="502"/>
      <c r="D279" s="502"/>
      <c r="E279" s="502"/>
      <c r="F279" s="502"/>
      <c r="G279" s="502"/>
      <c r="H279" s="502"/>
      <c r="I279" s="502"/>
      <c r="J279" s="502"/>
      <c r="K279" s="502"/>
      <c r="L279" s="502"/>
      <c r="M279" s="502"/>
      <c r="N279" s="502"/>
      <c r="O279" s="502"/>
      <c r="P279" s="502"/>
      <c r="Q279" s="502"/>
      <c r="R279" s="502"/>
      <c r="S279" s="502"/>
      <c r="T279" s="502"/>
      <c r="U279" s="502"/>
    </row>
    <row r="280" spans="1:21" s="71" customFormat="1" ht="9" hidden="1" customHeight="1">
      <c r="A280" s="294">
        <v>211</v>
      </c>
      <c r="B280" s="68" t="s">
        <v>350</v>
      </c>
      <c r="C280" s="285" t="s">
        <v>998</v>
      </c>
      <c r="D280" s="285"/>
      <c r="E280" s="294">
        <v>1965</v>
      </c>
      <c r="F280" s="294"/>
      <c r="G280" s="294" t="s">
        <v>87</v>
      </c>
      <c r="H280" s="294" t="s">
        <v>72</v>
      </c>
      <c r="I280" s="294" t="s">
        <v>73</v>
      </c>
      <c r="J280" s="297">
        <v>1071.7</v>
      </c>
      <c r="K280" s="297">
        <v>991.6</v>
      </c>
      <c r="L280" s="297">
        <v>670.5</v>
      </c>
      <c r="M280" s="294">
        <v>34</v>
      </c>
      <c r="N280" s="297">
        <f>'Приложение 2'!E283</f>
        <v>3249893.6</v>
      </c>
      <c r="O280" s="297">
        <v>0</v>
      </c>
      <c r="P280" s="297">
        <v>0</v>
      </c>
      <c r="Q280" s="297">
        <v>453128.05</v>
      </c>
      <c r="R280" s="297">
        <f>N280-Q280</f>
        <v>2796765.5500000003</v>
      </c>
      <c r="S280" s="297">
        <f>N280/K280</f>
        <v>3277.4239612747074</v>
      </c>
      <c r="T280" s="297">
        <v>4503.95</v>
      </c>
      <c r="U280" s="46" t="s">
        <v>225</v>
      </c>
    </row>
    <row r="281" spans="1:21" s="71" customFormat="1" ht="22.5" hidden="1" customHeight="1">
      <c r="A281" s="503" t="s">
        <v>348</v>
      </c>
      <c r="B281" s="503"/>
      <c r="C281" s="285"/>
      <c r="D281" s="285"/>
      <c r="E281" s="54" t="s">
        <v>387</v>
      </c>
      <c r="F281" s="54" t="s">
        <v>387</v>
      </c>
      <c r="G281" s="54" t="s">
        <v>387</v>
      </c>
      <c r="H281" s="54" t="s">
        <v>387</v>
      </c>
      <c r="I281" s="54" t="s">
        <v>387</v>
      </c>
      <c r="J281" s="297">
        <f t="shared" ref="J281:Q281" si="55">SUM(J280:J280)</f>
        <v>1071.7</v>
      </c>
      <c r="K281" s="297">
        <f t="shared" si="55"/>
        <v>991.6</v>
      </c>
      <c r="L281" s="297">
        <f t="shared" si="55"/>
        <v>670.5</v>
      </c>
      <c r="M281" s="44">
        <f t="shared" si="55"/>
        <v>34</v>
      </c>
      <c r="N281" s="297">
        <f t="shared" si="55"/>
        <v>3249893.6</v>
      </c>
      <c r="O281" s="297">
        <f t="shared" si="55"/>
        <v>0</v>
      </c>
      <c r="P281" s="297">
        <f t="shared" si="55"/>
        <v>0</v>
      </c>
      <c r="Q281" s="297">
        <f t="shared" si="55"/>
        <v>453128.05</v>
      </c>
      <c r="R281" s="297">
        <f>SUM(R280:R280)</f>
        <v>2796765.5500000003</v>
      </c>
      <c r="S281" s="297">
        <f>N281/K281</f>
        <v>3277.4239612747074</v>
      </c>
      <c r="T281" s="297"/>
      <c r="U281" s="46"/>
    </row>
    <row r="282" spans="1:21" s="71" customFormat="1" ht="9" hidden="1" customHeight="1">
      <c r="A282" s="502" t="s">
        <v>429</v>
      </c>
      <c r="B282" s="502"/>
      <c r="C282" s="502"/>
      <c r="D282" s="502"/>
      <c r="E282" s="502"/>
      <c r="F282" s="502"/>
      <c r="G282" s="502"/>
      <c r="H282" s="502"/>
      <c r="I282" s="502"/>
      <c r="J282" s="502"/>
      <c r="K282" s="502"/>
      <c r="L282" s="502"/>
      <c r="M282" s="502"/>
      <c r="N282" s="502"/>
      <c r="O282" s="502"/>
      <c r="P282" s="502"/>
      <c r="Q282" s="502"/>
      <c r="R282" s="502"/>
      <c r="S282" s="502"/>
      <c r="T282" s="502"/>
      <c r="U282" s="502"/>
    </row>
    <row r="283" spans="1:21" s="71" customFormat="1" ht="9" hidden="1" customHeight="1">
      <c r="A283" s="96">
        <v>212</v>
      </c>
      <c r="B283" s="97" t="s">
        <v>354</v>
      </c>
      <c r="C283" s="288" t="s">
        <v>1000</v>
      </c>
      <c r="D283" s="288"/>
      <c r="E283" s="98">
        <v>1980</v>
      </c>
      <c r="F283" s="98"/>
      <c r="G283" s="98" t="s">
        <v>87</v>
      </c>
      <c r="H283" s="98" t="s">
        <v>72</v>
      </c>
      <c r="I283" s="98" t="s">
        <v>73</v>
      </c>
      <c r="J283" s="99">
        <v>1212.5</v>
      </c>
      <c r="K283" s="99">
        <v>822.51</v>
      </c>
      <c r="L283" s="99">
        <v>706.81</v>
      </c>
      <c r="M283" s="98">
        <v>30</v>
      </c>
      <c r="N283" s="99">
        <f>'Приложение 2'!E286</f>
        <v>344826.61</v>
      </c>
      <c r="O283" s="99">
        <v>0</v>
      </c>
      <c r="P283" s="99">
        <v>0</v>
      </c>
      <c r="Q283" s="99">
        <v>0</v>
      </c>
      <c r="R283" s="99">
        <f>N283</f>
        <v>344826.61</v>
      </c>
      <c r="S283" s="297">
        <f>N283/K283</f>
        <v>419.23698192119241</v>
      </c>
      <c r="T283" s="297">
        <v>4984.6499999999996</v>
      </c>
      <c r="U283" s="100" t="s">
        <v>225</v>
      </c>
    </row>
    <row r="284" spans="1:21" s="71" customFormat="1" ht="9" hidden="1" customHeight="1">
      <c r="A284" s="96">
        <v>213</v>
      </c>
      <c r="B284" s="97" t="s">
        <v>355</v>
      </c>
      <c r="C284" s="288" t="s">
        <v>1000</v>
      </c>
      <c r="D284" s="288"/>
      <c r="E284" s="98">
        <v>1983</v>
      </c>
      <c r="F284" s="98"/>
      <c r="G284" s="98" t="s">
        <v>87</v>
      </c>
      <c r="H284" s="98">
        <v>2</v>
      </c>
      <c r="I284" s="98">
        <v>3</v>
      </c>
      <c r="J284" s="99">
        <v>1122.4000000000001</v>
      </c>
      <c r="K284" s="99">
        <v>822.51</v>
      </c>
      <c r="L284" s="99">
        <v>776.31</v>
      </c>
      <c r="M284" s="98">
        <v>29</v>
      </c>
      <c r="N284" s="99">
        <f>'Приложение 2'!E287</f>
        <v>344472.67</v>
      </c>
      <c r="O284" s="99">
        <v>0</v>
      </c>
      <c r="P284" s="99">
        <v>0</v>
      </c>
      <c r="Q284" s="99">
        <v>0</v>
      </c>
      <c r="R284" s="99">
        <f>N284</f>
        <v>344472.67</v>
      </c>
      <c r="S284" s="297">
        <f>N284/K284</f>
        <v>418.80666496455967</v>
      </c>
      <c r="T284" s="297">
        <v>4984.6499999999996</v>
      </c>
      <c r="U284" s="100" t="s">
        <v>225</v>
      </c>
    </row>
    <row r="285" spans="1:21" s="71" customFormat="1" ht="22.5" hidden="1" customHeight="1">
      <c r="A285" s="505" t="s">
        <v>430</v>
      </c>
      <c r="B285" s="505"/>
      <c r="C285" s="288"/>
      <c r="D285" s="288"/>
      <c r="E285" s="96" t="s">
        <v>387</v>
      </c>
      <c r="F285" s="96" t="s">
        <v>387</v>
      </c>
      <c r="G285" s="96" t="s">
        <v>387</v>
      </c>
      <c r="H285" s="96" t="s">
        <v>387</v>
      </c>
      <c r="I285" s="96" t="s">
        <v>387</v>
      </c>
      <c r="J285" s="101">
        <f t="shared" ref="J285:R285" si="56">SUM(J283:J284)</f>
        <v>2334.9</v>
      </c>
      <c r="K285" s="101">
        <f t="shared" si="56"/>
        <v>1645.02</v>
      </c>
      <c r="L285" s="101">
        <f t="shared" si="56"/>
        <v>1483.12</v>
      </c>
      <c r="M285" s="44">
        <f t="shared" si="56"/>
        <v>59</v>
      </c>
      <c r="N285" s="101">
        <f t="shared" si="56"/>
        <v>689299.28</v>
      </c>
      <c r="O285" s="101">
        <f t="shared" si="56"/>
        <v>0</v>
      </c>
      <c r="P285" s="101">
        <f t="shared" si="56"/>
        <v>0</v>
      </c>
      <c r="Q285" s="101">
        <f t="shared" si="56"/>
        <v>0</v>
      </c>
      <c r="R285" s="101">
        <f t="shared" si="56"/>
        <v>689299.28</v>
      </c>
      <c r="S285" s="297">
        <f>N285/K285</f>
        <v>419.0218234428761</v>
      </c>
      <c r="T285" s="101"/>
      <c r="U285" s="100"/>
    </row>
    <row r="286" spans="1:21" s="71" customFormat="1" ht="9" hidden="1" customHeight="1">
      <c r="A286" s="504" t="s">
        <v>1058</v>
      </c>
      <c r="B286" s="504"/>
      <c r="C286" s="504"/>
      <c r="D286" s="504"/>
      <c r="E286" s="504"/>
      <c r="F286" s="504"/>
      <c r="G286" s="504"/>
      <c r="H286" s="504"/>
      <c r="I286" s="504"/>
      <c r="J286" s="504"/>
      <c r="K286" s="504"/>
      <c r="L286" s="504"/>
      <c r="M286" s="504"/>
      <c r="N286" s="504"/>
      <c r="O286" s="504"/>
      <c r="P286" s="504"/>
      <c r="Q286" s="504"/>
      <c r="R286" s="504"/>
      <c r="S286" s="504"/>
      <c r="T286" s="504"/>
      <c r="U286" s="504"/>
    </row>
    <row r="287" spans="1:21" s="71" customFormat="1" ht="9" hidden="1" customHeight="1">
      <c r="A287" s="78">
        <v>214</v>
      </c>
      <c r="B287" s="82" t="s">
        <v>356</v>
      </c>
      <c r="C287" s="287" t="s">
        <v>998</v>
      </c>
      <c r="D287" s="287"/>
      <c r="E287" s="78">
        <v>1960</v>
      </c>
      <c r="F287" s="78"/>
      <c r="G287" s="78" t="s">
        <v>87</v>
      </c>
      <c r="H287" s="78">
        <v>2</v>
      </c>
      <c r="I287" s="78">
        <v>2</v>
      </c>
      <c r="J287" s="79">
        <v>478.5</v>
      </c>
      <c r="K287" s="79">
        <v>446.5</v>
      </c>
      <c r="L287" s="79">
        <v>446.5</v>
      </c>
      <c r="M287" s="102">
        <v>13</v>
      </c>
      <c r="N287" s="79">
        <f>'Приложение 2'!E290</f>
        <v>1059478.07</v>
      </c>
      <c r="O287" s="79">
        <v>0</v>
      </c>
      <c r="P287" s="79">
        <v>0</v>
      </c>
      <c r="Q287" s="79">
        <v>0</v>
      </c>
      <c r="R287" s="79">
        <f>N287</f>
        <v>1059478.07</v>
      </c>
      <c r="S287" s="297">
        <f>N287/K287</f>
        <v>2372.8512206047035</v>
      </c>
      <c r="T287" s="297">
        <v>4503.95</v>
      </c>
      <c r="U287" s="86" t="s">
        <v>225</v>
      </c>
    </row>
    <row r="288" spans="1:21" s="71" customFormat="1" ht="21" hidden="1" customHeight="1">
      <c r="A288" s="501" t="s">
        <v>1059</v>
      </c>
      <c r="B288" s="501"/>
      <c r="C288" s="287"/>
      <c r="D288" s="287"/>
      <c r="E288" s="54" t="s">
        <v>387</v>
      </c>
      <c r="F288" s="54" t="s">
        <v>387</v>
      </c>
      <c r="G288" s="54" t="s">
        <v>387</v>
      </c>
      <c r="H288" s="54" t="s">
        <v>387</v>
      </c>
      <c r="I288" s="54" t="s">
        <v>387</v>
      </c>
      <c r="J288" s="79">
        <f>J287</f>
        <v>478.5</v>
      </c>
      <c r="K288" s="79">
        <f>K287</f>
        <v>446.5</v>
      </c>
      <c r="L288" s="79">
        <f>L287</f>
        <v>446.5</v>
      </c>
      <c r="M288" s="102">
        <f>M287</f>
        <v>13</v>
      </c>
      <c r="N288" s="79">
        <f>N287</f>
        <v>1059478.07</v>
      </c>
      <c r="O288" s="79">
        <v>0</v>
      </c>
      <c r="P288" s="79">
        <v>0</v>
      </c>
      <c r="Q288" s="79">
        <v>0</v>
      </c>
      <c r="R288" s="79">
        <f>R287</f>
        <v>1059478.07</v>
      </c>
      <c r="S288" s="297">
        <f>N288/K288</f>
        <v>2372.8512206047035</v>
      </c>
      <c r="T288" s="78"/>
      <c r="U288" s="86"/>
    </row>
    <row r="289" spans="1:21" s="71" customFormat="1" ht="9" hidden="1" customHeight="1">
      <c r="A289" s="502" t="s">
        <v>358</v>
      </c>
      <c r="B289" s="502"/>
      <c r="C289" s="502"/>
      <c r="D289" s="502"/>
      <c r="E289" s="502"/>
      <c r="F289" s="502"/>
      <c r="G289" s="502"/>
      <c r="H289" s="502"/>
      <c r="I289" s="502"/>
      <c r="J289" s="502"/>
      <c r="K289" s="502"/>
      <c r="L289" s="502"/>
      <c r="M289" s="502"/>
      <c r="N289" s="502"/>
      <c r="O289" s="502"/>
      <c r="P289" s="502"/>
      <c r="Q289" s="502"/>
      <c r="R289" s="502"/>
      <c r="S289" s="502"/>
      <c r="T289" s="502"/>
      <c r="U289" s="502"/>
    </row>
    <row r="290" spans="1:21" s="71" customFormat="1" ht="9" hidden="1" customHeight="1">
      <c r="A290" s="294">
        <v>215</v>
      </c>
      <c r="B290" s="68" t="s">
        <v>357</v>
      </c>
      <c r="C290" s="285" t="s">
        <v>998</v>
      </c>
      <c r="D290" s="285"/>
      <c r="E290" s="294">
        <v>1959</v>
      </c>
      <c r="F290" s="294"/>
      <c r="G290" s="294" t="s">
        <v>87</v>
      </c>
      <c r="H290" s="294">
        <v>2</v>
      </c>
      <c r="I290" s="294">
        <v>2</v>
      </c>
      <c r="J290" s="297">
        <v>686.8</v>
      </c>
      <c r="K290" s="297">
        <v>613.6</v>
      </c>
      <c r="L290" s="297">
        <v>399.9</v>
      </c>
      <c r="M290" s="294">
        <v>8</v>
      </c>
      <c r="N290" s="297">
        <f>'Приложение 2'!E293</f>
        <v>2063672.3200000001</v>
      </c>
      <c r="O290" s="297">
        <v>0</v>
      </c>
      <c r="P290" s="297">
        <v>0</v>
      </c>
      <c r="Q290" s="297">
        <v>0</v>
      </c>
      <c r="R290" s="297">
        <f>N290</f>
        <v>2063672.3200000001</v>
      </c>
      <c r="S290" s="297">
        <f>N290/K290</f>
        <v>3363.2208604954367</v>
      </c>
      <c r="T290" s="297">
        <v>4503.95</v>
      </c>
      <c r="U290" s="46" t="s">
        <v>225</v>
      </c>
    </row>
    <row r="291" spans="1:21" s="71" customFormat="1" ht="9" hidden="1" customHeight="1">
      <c r="A291" s="294">
        <v>216</v>
      </c>
      <c r="B291" s="68" t="s">
        <v>359</v>
      </c>
      <c r="C291" s="285" t="s">
        <v>997</v>
      </c>
      <c r="D291" s="285"/>
      <c r="E291" s="294">
        <v>1976</v>
      </c>
      <c r="F291" s="294"/>
      <c r="G291" s="294" t="s">
        <v>87</v>
      </c>
      <c r="H291" s="294">
        <v>5</v>
      </c>
      <c r="I291" s="294">
        <v>6</v>
      </c>
      <c r="J291" s="297">
        <v>4906.5</v>
      </c>
      <c r="K291" s="297">
        <v>4483</v>
      </c>
      <c r="L291" s="297">
        <v>4030.3</v>
      </c>
      <c r="M291" s="294">
        <v>185</v>
      </c>
      <c r="N291" s="297">
        <f>'Приложение 2'!E294</f>
        <v>4594604.0999999996</v>
      </c>
      <c r="O291" s="297">
        <v>0</v>
      </c>
      <c r="P291" s="297">
        <v>0</v>
      </c>
      <c r="Q291" s="297">
        <v>0</v>
      </c>
      <c r="R291" s="297">
        <f>N291</f>
        <v>4594604.0999999996</v>
      </c>
      <c r="S291" s="297">
        <f>N291/K291</f>
        <v>1024.8949587329912</v>
      </c>
      <c r="T291" s="297">
        <v>4180</v>
      </c>
      <c r="U291" s="46" t="s">
        <v>225</v>
      </c>
    </row>
    <row r="292" spans="1:21" s="71" customFormat="1" ht="22.5" hidden="1" customHeight="1">
      <c r="A292" s="503" t="s">
        <v>446</v>
      </c>
      <c r="B292" s="503"/>
      <c r="C292" s="285"/>
      <c r="D292" s="285"/>
      <c r="E292" s="54" t="s">
        <v>387</v>
      </c>
      <c r="F292" s="54" t="s">
        <v>387</v>
      </c>
      <c r="G292" s="54" t="s">
        <v>387</v>
      </c>
      <c r="H292" s="54" t="s">
        <v>387</v>
      </c>
      <c r="I292" s="54" t="s">
        <v>387</v>
      </c>
      <c r="J292" s="297">
        <f t="shared" ref="J292:R292" si="57">SUM(J290:J291)</f>
        <v>5593.3</v>
      </c>
      <c r="K292" s="297">
        <f t="shared" si="57"/>
        <v>5096.6000000000004</v>
      </c>
      <c r="L292" s="297">
        <f t="shared" si="57"/>
        <v>4430.2</v>
      </c>
      <c r="M292" s="44">
        <f t="shared" si="57"/>
        <v>193</v>
      </c>
      <c r="N292" s="297">
        <f t="shared" si="57"/>
        <v>6658276.4199999999</v>
      </c>
      <c r="O292" s="297">
        <f t="shared" si="57"/>
        <v>0</v>
      </c>
      <c r="P292" s="297">
        <f t="shared" si="57"/>
        <v>0</v>
      </c>
      <c r="Q292" s="297">
        <f t="shared" si="57"/>
        <v>0</v>
      </c>
      <c r="R292" s="297">
        <f t="shared" si="57"/>
        <v>6658276.4199999999</v>
      </c>
      <c r="S292" s="297">
        <f>N292/K292</f>
        <v>1306.4153396381901</v>
      </c>
      <c r="T292" s="297"/>
      <c r="U292" s="46"/>
    </row>
    <row r="293" spans="1:21" s="71" customFormat="1" ht="9" hidden="1" customHeight="1">
      <c r="A293" s="502" t="s">
        <v>427</v>
      </c>
      <c r="B293" s="502"/>
      <c r="C293" s="502"/>
      <c r="D293" s="502"/>
      <c r="E293" s="502"/>
      <c r="F293" s="502"/>
      <c r="G293" s="502"/>
      <c r="H293" s="502"/>
      <c r="I293" s="502"/>
      <c r="J293" s="502"/>
      <c r="K293" s="502"/>
      <c r="L293" s="502"/>
      <c r="M293" s="502"/>
      <c r="N293" s="502"/>
      <c r="O293" s="502"/>
      <c r="P293" s="502"/>
      <c r="Q293" s="502"/>
      <c r="R293" s="502"/>
      <c r="S293" s="502"/>
      <c r="T293" s="502"/>
      <c r="U293" s="502"/>
    </row>
    <row r="294" spans="1:21" s="71" customFormat="1" ht="9" hidden="1" customHeight="1">
      <c r="A294" s="294">
        <v>217</v>
      </c>
      <c r="B294" s="68" t="s">
        <v>360</v>
      </c>
      <c r="C294" s="285" t="s">
        <v>998</v>
      </c>
      <c r="D294" s="285"/>
      <c r="E294" s="294">
        <v>1981</v>
      </c>
      <c r="F294" s="294"/>
      <c r="G294" s="294" t="s">
        <v>87</v>
      </c>
      <c r="H294" s="294">
        <v>2</v>
      </c>
      <c r="I294" s="294">
        <v>1</v>
      </c>
      <c r="J294" s="61">
        <v>407.5</v>
      </c>
      <c r="K294" s="61">
        <v>370.4</v>
      </c>
      <c r="L294" s="61">
        <v>315.7</v>
      </c>
      <c r="M294" s="294">
        <v>23</v>
      </c>
      <c r="N294" s="297">
        <f>'Приложение 2'!E297</f>
        <v>1056204.45</v>
      </c>
      <c r="O294" s="297">
        <v>0</v>
      </c>
      <c r="P294" s="297">
        <v>0</v>
      </c>
      <c r="Q294" s="297">
        <v>0</v>
      </c>
      <c r="R294" s="297">
        <f>N294</f>
        <v>1056204.45</v>
      </c>
      <c r="S294" s="297">
        <f>N294/K294</f>
        <v>2851.523893088553</v>
      </c>
      <c r="T294" s="297">
        <v>4503.95</v>
      </c>
      <c r="U294" s="46" t="s">
        <v>225</v>
      </c>
    </row>
    <row r="295" spans="1:21" s="71" customFormat="1" ht="20.25" hidden="1" customHeight="1">
      <c r="A295" s="503" t="s">
        <v>428</v>
      </c>
      <c r="B295" s="503"/>
      <c r="C295" s="285"/>
      <c r="D295" s="285"/>
      <c r="E295" s="54" t="s">
        <v>387</v>
      </c>
      <c r="F295" s="54" t="s">
        <v>387</v>
      </c>
      <c r="G295" s="54" t="s">
        <v>387</v>
      </c>
      <c r="H295" s="54" t="s">
        <v>387</v>
      </c>
      <c r="I295" s="54" t="s">
        <v>387</v>
      </c>
      <c r="J295" s="297">
        <f t="shared" ref="J295:R295" si="58">SUM(J294:J294)</f>
        <v>407.5</v>
      </c>
      <c r="K295" s="297">
        <f t="shared" si="58"/>
        <v>370.4</v>
      </c>
      <c r="L295" s="297">
        <f t="shared" si="58"/>
        <v>315.7</v>
      </c>
      <c r="M295" s="44">
        <f t="shared" si="58"/>
        <v>23</v>
      </c>
      <c r="N295" s="297">
        <f t="shared" si="58"/>
        <v>1056204.45</v>
      </c>
      <c r="O295" s="297">
        <f t="shared" si="58"/>
        <v>0</v>
      </c>
      <c r="P295" s="297">
        <f t="shared" si="58"/>
        <v>0</v>
      </c>
      <c r="Q295" s="297">
        <f t="shared" si="58"/>
        <v>0</v>
      </c>
      <c r="R295" s="297">
        <f t="shared" si="58"/>
        <v>1056204.45</v>
      </c>
      <c r="S295" s="297">
        <f>N295/K295</f>
        <v>2851.523893088553</v>
      </c>
      <c r="T295" s="297"/>
      <c r="U295" s="46"/>
    </row>
    <row r="296" spans="1:21" s="71" customFormat="1" ht="9" hidden="1" customHeight="1">
      <c r="A296" s="507" t="s">
        <v>398</v>
      </c>
      <c r="B296" s="507"/>
      <c r="C296" s="507"/>
      <c r="D296" s="507"/>
      <c r="E296" s="507"/>
      <c r="F296" s="507"/>
      <c r="G296" s="507"/>
      <c r="H296" s="507"/>
      <c r="I296" s="507"/>
      <c r="J296" s="507"/>
      <c r="K296" s="507"/>
      <c r="L296" s="507"/>
      <c r="M296" s="507"/>
      <c r="N296" s="507"/>
      <c r="O296" s="507"/>
      <c r="P296" s="507"/>
      <c r="Q296" s="507"/>
      <c r="R296" s="507"/>
      <c r="S296" s="507"/>
      <c r="T296" s="507"/>
      <c r="U296" s="507"/>
    </row>
    <row r="297" spans="1:21" s="71" customFormat="1" ht="9" hidden="1" customHeight="1">
      <c r="A297" s="103">
        <v>218</v>
      </c>
      <c r="B297" s="104" t="s">
        <v>1</v>
      </c>
      <c r="C297" s="289" t="s">
        <v>998</v>
      </c>
      <c r="D297" s="289"/>
      <c r="E297" s="103">
        <v>1976</v>
      </c>
      <c r="F297" s="103"/>
      <c r="G297" s="103" t="s">
        <v>87</v>
      </c>
      <c r="H297" s="103" t="s">
        <v>72</v>
      </c>
      <c r="I297" s="103" t="s">
        <v>72</v>
      </c>
      <c r="J297" s="105">
        <v>658.1</v>
      </c>
      <c r="K297" s="105">
        <v>563.79999999999995</v>
      </c>
      <c r="L297" s="105">
        <v>563.79999999999995</v>
      </c>
      <c r="M297" s="106">
        <v>17</v>
      </c>
      <c r="N297" s="107">
        <f>'Приложение 2'!E300</f>
        <v>1645051.71</v>
      </c>
      <c r="O297" s="107">
        <v>0</v>
      </c>
      <c r="P297" s="107">
        <v>0</v>
      </c>
      <c r="Q297" s="297">
        <v>24195.26</v>
      </c>
      <c r="R297" s="107">
        <f>N297-Q297</f>
        <v>1620856.45</v>
      </c>
      <c r="S297" s="297">
        <f>N297/K297</f>
        <v>2917.7930294430653</v>
      </c>
      <c r="T297" s="297">
        <v>4503.95</v>
      </c>
      <c r="U297" s="108" t="s">
        <v>225</v>
      </c>
    </row>
    <row r="298" spans="1:21" s="71" customFormat="1" ht="21.75" hidden="1" customHeight="1">
      <c r="A298" s="508" t="s">
        <v>361</v>
      </c>
      <c r="B298" s="508"/>
      <c r="C298" s="307"/>
      <c r="D298" s="307"/>
      <c r="E298" s="54" t="s">
        <v>387</v>
      </c>
      <c r="F298" s="54" t="s">
        <v>387</v>
      </c>
      <c r="G298" s="54" t="s">
        <v>387</v>
      </c>
      <c r="H298" s="54" t="s">
        <v>387</v>
      </c>
      <c r="I298" s="54" t="s">
        <v>387</v>
      </c>
      <c r="J298" s="107">
        <f>J297</f>
        <v>658.1</v>
      </c>
      <c r="K298" s="107">
        <f>K297</f>
        <v>563.79999999999995</v>
      </c>
      <c r="L298" s="107">
        <f>L297</f>
        <v>563.79999999999995</v>
      </c>
      <c r="M298" s="103">
        <f>M297</f>
        <v>17</v>
      </c>
      <c r="N298" s="107">
        <f>N297</f>
        <v>1645051.71</v>
      </c>
      <c r="O298" s="107">
        <v>0</v>
      </c>
      <c r="P298" s="107">
        <v>0</v>
      </c>
      <c r="Q298" s="107">
        <f>Q297</f>
        <v>24195.26</v>
      </c>
      <c r="R298" s="107">
        <f>R297</f>
        <v>1620856.45</v>
      </c>
      <c r="S298" s="297">
        <f>N298/K298</f>
        <v>2917.7930294430653</v>
      </c>
      <c r="T298" s="107"/>
      <c r="U298" s="108"/>
    </row>
    <row r="299" spans="1:21" s="71" customFormat="1" ht="9" hidden="1" customHeight="1">
      <c r="A299" s="507" t="s">
        <v>2</v>
      </c>
      <c r="B299" s="507"/>
      <c r="C299" s="507"/>
      <c r="D299" s="507"/>
      <c r="E299" s="507"/>
      <c r="F299" s="507"/>
      <c r="G299" s="507"/>
      <c r="H299" s="507"/>
      <c r="I299" s="507"/>
      <c r="J299" s="507"/>
      <c r="K299" s="507"/>
      <c r="L299" s="507"/>
      <c r="M299" s="507"/>
      <c r="N299" s="507"/>
      <c r="O299" s="507"/>
      <c r="P299" s="507"/>
      <c r="Q299" s="507"/>
      <c r="R299" s="507"/>
      <c r="S299" s="507"/>
      <c r="T299" s="507"/>
      <c r="U299" s="507"/>
    </row>
    <row r="300" spans="1:21" s="71" customFormat="1" ht="9" hidden="1" customHeight="1">
      <c r="A300" s="103">
        <v>219</v>
      </c>
      <c r="B300" s="104" t="s">
        <v>3</v>
      </c>
      <c r="C300" s="289" t="s">
        <v>1000</v>
      </c>
      <c r="D300" s="289"/>
      <c r="E300" s="103">
        <v>1972</v>
      </c>
      <c r="F300" s="103"/>
      <c r="G300" s="103" t="s">
        <v>319</v>
      </c>
      <c r="H300" s="103" t="s">
        <v>72</v>
      </c>
      <c r="I300" s="103">
        <v>3</v>
      </c>
      <c r="J300" s="105">
        <v>1133.56</v>
      </c>
      <c r="K300" s="105">
        <v>1043.68</v>
      </c>
      <c r="L300" s="105">
        <v>1043.68</v>
      </c>
      <c r="M300" s="109">
        <v>24</v>
      </c>
      <c r="N300" s="107">
        <f>'Приложение 2'!E303</f>
        <v>1037381.91</v>
      </c>
      <c r="O300" s="107">
        <v>0</v>
      </c>
      <c r="P300" s="107">
        <v>0</v>
      </c>
      <c r="Q300" s="107">
        <v>12613.27</v>
      </c>
      <c r="R300" s="107">
        <f>N300-Q300</f>
        <v>1024768.64</v>
      </c>
      <c r="S300" s="297">
        <f>N300/K300</f>
        <v>993.96549708722978</v>
      </c>
      <c r="T300" s="297">
        <v>4984.6499999999996</v>
      </c>
      <c r="U300" s="108" t="s">
        <v>225</v>
      </c>
    </row>
    <row r="301" spans="1:21" s="71" customFormat="1" ht="9" hidden="1" customHeight="1">
      <c r="A301" s="103">
        <v>220</v>
      </c>
      <c r="B301" s="104" t="s">
        <v>4</v>
      </c>
      <c r="C301" s="289" t="s">
        <v>998</v>
      </c>
      <c r="D301" s="289"/>
      <c r="E301" s="103">
        <v>1972</v>
      </c>
      <c r="F301" s="103"/>
      <c r="G301" s="103" t="s">
        <v>87</v>
      </c>
      <c r="H301" s="103">
        <v>2</v>
      </c>
      <c r="I301" s="103">
        <v>2</v>
      </c>
      <c r="J301" s="105">
        <v>718.86</v>
      </c>
      <c r="K301" s="105">
        <v>651.79999999999995</v>
      </c>
      <c r="L301" s="105">
        <v>651.79999999999995</v>
      </c>
      <c r="M301" s="109">
        <v>29</v>
      </c>
      <c r="N301" s="107">
        <f>'Приложение 2'!E304</f>
        <v>1785735.76</v>
      </c>
      <c r="O301" s="107">
        <v>0</v>
      </c>
      <c r="P301" s="107">
        <v>0</v>
      </c>
      <c r="Q301" s="107">
        <v>28178.799999999999</v>
      </c>
      <c r="R301" s="107">
        <f>N301-Q301</f>
        <v>1757556.96</v>
      </c>
      <c r="S301" s="297">
        <f>N301/K301</f>
        <v>2739.6989260509363</v>
      </c>
      <c r="T301" s="297">
        <v>4503.95</v>
      </c>
      <c r="U301" s="108" t="s">
        <v>225</v>
      </c>
    </row>
    <row r="302" spans="1:21" s="71" customFormat="1" ht="21" hidden="1" customHeight="1">
      <c r="A302" s="506" t="s">
        <v>5</v>
      </c>
      <c r="B302" s="506"/>
      <c r="C302" s="289"/>
      <c r="D302" s="289"/>
      <c r="E302" s="54" t="s">
        <v>387</v>
      </c>
      <c r="F302" s="54" t="s">
        <v>387</v>
      </c>
      <c r="G302" s="54" t="s">
        <v>387</v>
      </c>
      <c r="H302" s="54" t="s">
        <v>387</v>
      </c>
      <c r="I302" s="54" t="s">
        <v>387</v>
      </c>
      <c r="J302" s="107">
        <f t="shared" ref="J302:S302" si="59">SUM(J300:J301)</f>
        <v>1852.42</v>
      </c>
      <c r="K302" s="107">
        <f t="shared" si="59"/>
        <v>1695.48</v>
      </c>
      <c r="L302" s="107">
        <f t="shared" si="59"/>
        <v>1695.48</v>
      </c>
      <c r="M302" s="44">
        <f t="shared" si="59"/>
        <v>53</v>
      </c>
      <c r="N302" s="107">
        <f t="shared" si="59"/>
        <v>2823117.67</v>
      </c>
      <c r="O302" s="107">
        <f t="shared" si="59"/>
        <v>0</v>
      </c>
      <c r="P302" s="107">
        <f t="shared" si="59"/>
        <v>0</v>
      </c>
      <c r="Q302" s="107">
        <f>SUM(Q300:Q301)</f>
        <v>40792.07</v>
      </c>
      <c r="R302" s="107">
        <f>SUM(R300:R301)</f>
        <v>2782325.6</v>
      </c>
      <c r="S302" s="107">
        <f t="shared" si="59"/>
        <v>3733.6644231381661</v>
      </c>
      <c r="T302" s="103"/>
      <c r="U302" s="108"/>
    </row>
    <row r="303" spans="1:21" s="71" customFormat="1" ht="9" hidden="1" customHeight="1">
      <c r="A303" s="504" t="s">
        <v>8</v>
      </c>
      <c r="B303" s="504"/>
      <c r="C303" s="504"/>
      <c r="D303" s="504"/>
      <c r="E303" s="504"/>
      <c r="F303" s="504"/>
      <c r="G303" s="504"/>
      <c r="H303" s="504"/>
      <c r="I303" s="504"/>
      <c r="J303" s="504"/>
      <c r="K303" s="504"/>
      <c r="L303" s="504"/>
      <c r="M303" s="504"/>
      <c r="N303" s="504"/>
      <c r="O303" s="504"/>
      <c r="P303" s="504"/>
      <c r="Q303" s="504"/>
      <c r="R303" s="504"/>
      <c r="S303" s="504"/>
      <c r="T303" s="504"/>
      <c r="U303" s="504"/>
    </row>
    <row r="304" spans="1:21" s="71" customFormat="1" ht="9" hidden="1" customHeight="1">
      <c r="A304" s="78">
        <v>221</v>
      </c>
      <c r="B304" s="82" t="s">
        <v>12</v>
      </c>
      <c r="C304" s="287" t="s">
        <v>997</v>
      </c>
      <c r="D304" s="287"/>
      <c r="E304" s="78">
        <v>1965</v>
      </c>
      <c r="F304" s="78"/>
      <c r="G304" s="103" t="s">
        <v>87</v>
      </c>
      <c r="H304" s="78">
        <v>2</v>
      </c>
      <c r="I304" s="78">
        <v>2</v>
      </c>
      <c r="J304" s="79">
        <v>698.4</v>
      </c>
      <c r="K304" s="79">
        <v>479.3</v>
      </c>
      <c r="L304" s="79">
        <v>421.9</v>
      </c>
      <c r="M304" s="102">
        <v>24</v>
      </c>
      <c r="N304" s="79">
        <f>'Приложение 2'!E307</f>
        <v>1356102.48</v>
      </c>
      <c r="O304" s="79">
        <v>0</v>
      </c>
      <c r="P304" s="79">
        <v>0</v>
      </c>
      <c r="Q304" s="79">
        <v>0</v>
      </c>
      <c r="R304" s="79">
        <f>N304</f>
        <v>1356102.48</v>
      </c>
      <c r="S304" s="297">
        <f>N304/K304</f>
        <v>2829.3396202795743</v>
      </c>
      <c r="T304" s="297">
        <v>4180</v>
      </c>
      <c r="U304" s="108" t="s">
        <v>225</v>
      </c>
    </row>
    <row r="305" spans="1:21" s="71" customFormat="1" ht="9" hidden="1" customHeight="1">
      <c r="A305" s="78">
        <v>222</v>
      </c>
      <c r="B305" s="82" t="s">
        <v>13</v>
      </c>
      <c r="C305" s="287" t="s">
        <v>998</v>
      </c>
      <c r="D305" s="287"/>
      <c r="E305" s="78">
        <v>1963</v>
      </c>
      <c r="F305" s="78"/>
      <c r="G305" s="103" t="s">
        <v>87</v>
      </c>
      <c r="H305" s="78">
        <v>2</v>
      </c>
      <c r="I305" s="78">
        <v>2</v>
      </c>
      <c r="J305" s="79">
        <v>460</v>
      </c>
      <c r="K305" s="79">
        <v>446</v>
      </c>
      <c r="L305" s="79">
        <v>276.2</v>
      </c>
      <c r="M305" s="102">
        <v>21</v>
      </c>
      <c r="N305" s="79">
        <f>'Приложение 2'!E308</f>
        <v>907608.72</v>
      </c>
      <c r="O305" s="79">
        <v>0</v>
      </c>
      <c r="P305" s="79">
        <v>0</v>
      </c>
      <c r="Q305" s="79">
        <v>0</v>
      </c>
      <c r="R305" s="79">
        <f>N305</f>
        <v>907608.72</v>
      </c>
      <c r="S305" s="297">
        <f>N305/K305</f>
        <v>2034.9971300448431</v>
      </c>
      <c r="T305" s="297">
        <v>4503.95</v>
      </c>
      <c r="U305" s="108" t="s">
        <v>225</v>
      </c>
    </row>
    <row r="306" spans="1:21" s="71" customFormat="1" ht="21" hidden="1" customHeight="1">
      <c r="A306" s="501" t="s">
        <v>9</v>
      </c>
      <c r="B306" s="501"/>
      <c r="C306" s="287"/>
      <c r="D306" s="287"/>
      <c r="E306" s="54" t="s">
        <v>387</v>
      </c>
      <c r="F306" s="54" t="s">
        <v>387</v>
      </c>
      <c r="G306" s="54" t="s">
        <v>387</v>
      </c>
      <c r="H306" s="54" t="s">
        <v>387</v>
      </c>
      <c r="I306" s="54" t="s">
        <v>387</v>
      </c>
      <c r="J306" s="79">
        <f t="shared" ref="J306:R306" si="60">SUM(J304:J305)</f>
        <v>1158.4000000000001</v>
      </c>
      <c r="K306" s="79">
        <f t="shared" si="60"/>
        <v>925.3</v>
      </c>
      <c r="L306" s="79">
        <f t="shared" si="60"/>
        <v>698.09999999999991</v>
      </c>
      <c r="M306" s="44">
        <f t="shared" si="60"/>
        <v>45</v>
      </c>
      <c r="N306" s="79">
        <f t="shared" si="60"/>
        <v>2263711.2000000002</v>
      </c>
      <c r="O306" s="79">
        <f t="shared" si="60"/>
        <v>0</v>
      </c>
      <c r="P306" s="79">
        <f t="shared" si="60"/>
        <v>0</v>
      </c>
      <c r="Q306" s="79">
        <f t="shared" si="60"/>
        <v>0</v>
      </c>
      <c r="R306" s="79">
        <f t="shared" si="60"/>
        <v>2263711.2000000002</v>
      </c>
      <c r="S306" s="297">
        <f>N306/K306</f>
        <v>2446.4619042472714</v>
      </c>
      <c r="T306" s="78"/>
      <c r="U306" s="86"/>
    </row>
    <row r="307" spans="1:21" s="71" customFormat="1" ht="9" hidden="1" customHeight="1">
      <c r="A307" s="504" t="s">
        <v>10</v>
      </c>
      <c r="B307" s="504"/>
      <c r="C307" s="504"/>
      <c r="D307" s="504"/>
      <c r="E307" s="504"/>
      <c r="F307" s="504"/>
      <c r="G307" s="504"/>
      <c r="H307" s="504"/>
      <c r="I307" s="504"/>
      <c r="J307" s="504"/>
      <c r="K307" s="504"/>
      <c r="L307" s="504"/>
      <c r="M307" s="504"/>
      <c r="N307" s="504"/>
      <c r="O307" s="504"/>
      <c r="P307" s="504"/>
      <c r="Q307" s="504"/>
      <c r="R307" s="504"/>
      <c r="S307" s="504"/>
      <c r="T307" s="504"/>
      <c r="U307" s="504"/>
    </row>
    <row r="308" spans="1:21" s="71" customFormat="1" ht="9" hidden="1" customHeight="1">
      <c r="A308" s="78">
        <v>223</v>
      </c>
      <c r="B308" s="82" t="s">
        <v>15</v>
      </c>
      <c r="C308" s="287" t="s">
        <v>998</v>
      </c>
      <c r="D308" s="287"/>
      <c r="E308" s="78">
        <v>1959</v>
      </c>
      <c r="F308" s="78"/>
      <c r="G308" s="103" t="s">
        <v>87</v>
      </c>
      <c r="H308" s="78">
        <v>2</v>
      </c>
      <c r="I308" s="78">
        <v>1</v>
      </c>
      <c r="J308" s="79">
        <v>401.2</v>
      </c>
      <c r="K308" s="79">
        <v>318.89999999999998</v>
      </c>
      <c r="L308" s="79">
        <v>268.8</v>
      </c>
      <c r="M308" s="102">
        <v>11</v>
      </c>
      <c r="N308" s="79">
        <f>'Приложение 2'!E311</f>
        <v>912625.94</v>
      </c>
      <c r="O308" s="79">
        <v>0</v>
      </c>
      <c r="P308" s="79">
        <v>0</v>
      </c>
      <c r="Q308" s="79">
        <v>0</v>
      </c>
      <c r="R308" s="79">
        <f>N308</f>
        <v>912625.94</v>
      </c>
      <c r="S308" s="297">
        <f>N308/K308</f>
        <v>2861.7934775791787</v>
      </c>
      <c r="T308" s="297">
        <v>4503.95</v>
      </c>
      <c r="U308" s="108" t="s">
        <v>225</v>
      </c>
    </row>
    <row r="309" spans="1:21" s="71" customFormat="1" ht="9" hidden="1" customHeight="1">
      <c r="A309" s="78">
        <v>224</v>
      </c>
      <c r="B309" s="82" t="s">
        <v>14</v>
      </c>
      <c r="C309" s="287" t="s">
        <v>998</v>
      </c>
      <c r="D309" s="287"/>
      <c r="E309" s="78">
        <v>1941</v>
      </c>
      <c r="F309" s="78"/>
      <c r="G309" s="103" t="s">
        <v>87</v>
      </c>
      <c r="H309" s="78">
        <v>3</v>
      </c>
      <c r="I309" s="78">
        <v>1</v>
      </c>
      <c r="J309" s="79">
        <v>347.3</v>
      </c>
      <c r="K309" s="79">
        <v>279.2</v>
      </c>
      <c r="L309" s="79">
        <v>243.2</v>
      </c>
      <c r="M309" s="102">
        <v>19</v>
      </c>
      <c r="N309" s="79">
        <f>'Приложение 2'!E312</f>
        <v>752267.04</v>
      </c>
      <c r="O309" s="79">
        <v>0</v>
      </c>
      <c r="P309" s="79">
        <v>0</v>
      </c>
      <c r="Q309" s="79">
        <v>0</v>
      </c>
      <c r="R309" s="79">
        <f>N309</f>
        <v>752267.04</v>
      </c>
      <c r="S309" s="297">
        <f>N309/K309</f>
        <v>2694.3661891117481</v>
      </c>
      <c r="T309" s="297">
        <v>4503.95</v>
      </c>
      <c r="U309" s="108" t="s">
        <v>225</v>
      </c>
    </row>
    <row r="310" spans="1:21" s="71" customFormat="1" ht="9" hidden="1" customHeight="1">
      <c r="A310" s="78">
        <v>225</v>
      </c>
      <c r="B310" s="82" t="s">
        <v>16</v>
      </c>
      <c r="C310" s="287" t="s">
        <v>998</v>
      </c>
      <c r="D310" s="287"/>
      <c r="E310" s="78">
        <v>1968</v>
      </c>
      <c r="F310" s="78"/>
      <c r="G310" s="103" t="s">
        <v>87</v>
      </c>
      <c r="H310" s="78">
        <v>3</v>
      </c>
      <c r="I310" s="78">
        <v>2</v>
      </c>
      <c r="J310" s="79">
        <v>992.2</v>
      </c>
      <c r="K310" s="79">
        <v>927.4</v>
      </c>
      <c r="L310" s="79">
        <v>927.4</v>
      </c>
      <c r="M310" s="102">
        <v>38</v>
      </c>
      <c r="N310" s="79">
        <f>'Приложение 2'!E313</f>
        <v>1319796.78</v>
      </c>
      <c r="O310" s="79">
        <v>0</v>
      </c>
      <c r="P310" s="79">
        <v>0</v>
      </c>
      <c r="Q310" s="79">
        <v>0</v>
      </c>
      <c r="R310" s="79">
        <f>N310</f>
        <v>1319796.78</v>
      </c>
      <c r="S310" s="297">
        <f>N310/K310</f>
        <v>1423.1149234418806</v>
      </c>
      <c r="T310" s="297">
        <v>4503.95</v>
      </c>
      <c r="U310" s="108" t="s">
        <v>225</v>
      </c>
    </row>
    <row r="311" spans="1:21" s="71" customFormat="1" ht="9" hidden="1" customHeight="1">
      <c r="A311" s="78">
        <v>226</v>
      </c>
      <c r="B311" s="82" t="s">
        <v>17</v>
      </c>
      <c r="C311" s="287" t="s">
        <v>998</v>
      </c>
      <c r="D311" s="287"/>
      <c r="E311" s="78">
        <v>1941</v>
      </c>
      <c r="F311" s="78"/>
      <c r="G311" s="103" t="s">
        <v>87</v>
      </c>
      <c r="H311" s="78">
        <v>2</v>
      </c>
      <c r="I311" s="78">
        <v>2</v>
      </c>
      <c r="J311" s="79">
        <v>580.9</v>
      </c>
      <c r="K311" s="79">
        <v>526.1</v>
      </c>
      <c r="L311" s="79">
        <v>434.5</v>
      </c>
      <c r="M311" s="102">
        <v>18</v>
      </c>
      <c r="N311" s="79">
        <f>'Приложение 2'!E314</f>
        <v>1443460.21</v>
      </c>
      <c r="O311" s="79">
        <v>0</v>
      </c>
      <c r="P311" s="79">
        <v>0</v>
      </c>
      <c r="Q311" s="79">
        <v>0</v>
      </c>
      <c r="R311" s="79">
        <f>N311</f>
        <v>1443460.21</v>
      </c>
      <c r="S311" s="297">
        <f>N311/K311</f>
        <v>2743.6993157194447</v>
      </c>
      <c r="T311" s="297">
        <v>4503.95</v>
      </c>
      <c r="U311" s="108" t="s">
        <v>225</v>
      </c>
    </row>
    <row r="312" spans="1:21" s="110" customFormat="1" ht="21" hidden="1" customHeight="1">
      <c r="A312" s="501" t="s">
        <v>11</v>
      </c>
      <c r="B312" s="501"/>
      <c r="C312" s="287"/>
      <c r="D312" s="287"/>
      <c r="E312" s="54" t="s">
        <v>387</v>
      </c>
      <c r="F312" s="54" t="s">
        <v>387</v>
      </c>
      <c r="G312" s="54" t="s">
        <v>387</v>
      </c>
      <c r="H312" s="54" t="s">
        <v>387</v>
      </c>
      <c r="I312" s="54" t="s">
        <v>387</v>
      </c>
      <c r="J312" s="79">
        <f t="shared" ref="J312:R312" si="61">SUM(J308:J311)</f>
        <v>2321.6</v>
      </c>
      <c r="K312" s="79">
        <f t="shared" si="61"/>
        <v>2051.6</v>
      </c>
      <c r="L312" s="79">
        <f t="shared" si="61"/>
        <v>1873.9</v>
      </c>
      <c r="M312" s="44">
        <f t="shared" si="61"/>
        <v>86</v>
      </c>
      <c r="N312" s="79">
        <f t="shared" si="61"/>
        <v>4428149.97</v>
      </c>
      <c r="O312" s="79">
        <f t="shared" si="61"/>
        <v>0</v>
      </c>
      <c r="P312" s="79">
        <f t="shared" si="61"/>
        <v>0</v>
      </c>
      <c r="Q312" s="79">
        <f t="shared" si="61"/>
        <v>0</v>
      </c>
      <c r="R312" s="79">
        <f t="shared" si="61"/>
        <v>4428149.97</v>
      </c>
      <c r="S312" s="297">
        <f>N312/K312</f>
        <v>2158.388560148177</v>
      </c>
      <c r="T312" s="78"/>
      <c r="U312" s="86"/>
    </row>
    <row r="313" spans="1:21" s="110" customFormat="1" ht="9" hidden="1" customHeight="1">
      <c r="A313" s="504" t="s">
        <v>388</v>
      </c>
      <c r="B313" s="504"/>
      <c r="C313" s="504"/>
      <c r="D313" s="504"/>
      <c r="E313" s="504"/>
      <c r="F313" s="504"/>
      <c r="G313" s="504"/>
      <c r="H313" s="504"/>
      <c r="I313" s="504"/>
      <c r="J313" s="504"/>
      <c r="K313" s="504"/>
      <c r="L313" s="504"/>
      <c r="M313" s="504"/>
      <c r="N313" s="504"/>
      <c r="O313" s="504"/>
      <c r="P313" s="504"/>
      <c r="Q313" s="504"/>
      <c r="R313" s="504"/>
      <c r="S313" s="504"/>
      <c r="T313" s="504"/>
      <c r="U313" s="504"/>
    </row>
    <row r="314" spans="1:21" s="110" customFormat="1" ht="9" hidden="1" customHeight="1">
      <c r="A314" s="78">
        <v>227</v>
      </c>
      <c r="B314" s="82" t="s">
        <v>18</v>
      </c>
      <c r="C314" s="82" t="s">
        <v>997</v>
      </c>
      <c r="D314" s="82"/>
      <c r="E314" s="78">
        <v>1976</v>
      </c>
      <c r="F314" s="78"/>
      <c r="G314" s="78" t="s">
        <v>89</v>
      </c>
      <c r="H314" s="82">
        <v>2</v>
      </c>
      <c r="I314" s="78">
        <v>3</v>
      </c>
      <c r="J314" s="111">
        <v>980</v>
      </c>
      <c r="K314" s="78">
        <v>901.17</v>
      </c>
      <c r="L314" s="78">
        <v>901.17</v>
      </c>
      <c r="M314" s="78">
        <v>36</v>
      </c>
      <c r="N314" s="79">
        <f>'Приложение 2'!E317</f>
        <v>2502922.84</v>
      </c>
      <c r="O314" s="78" t="s">
        <v>389</v>
      </c>
      <c r="P314" s="111">
        <v>0</v>
      </c>
      <c r="Q314" s="79">
        <v>68483.17</v>
      </c>
      <c r="R314" s="79">
        <f>N314-Q314</f>
        <v>2434439.67</v>
      </c>
      <c r="S314" s="297">
        <f>N314/K314</f>
        <v>2777.414738617575</v>
      </c>
      <c r="T314" s="297">
        <v>4180</v>
      </c>
      <c r="U314" s="108" t="s">
        <v>225</v>
      </c>
    </row>
    <row r="315" spans="1:21" s="110" customFormat="1" ht="9" hidden="1" customHeight="1">
      <c r="A315" s="78">
        <v>228</v>
      </c>
      <c r="B315" s="82" t="s">
        <v>19</v>
      </c>
      <c r="C315" s="82" t="s">
        <v>997</v>
      </c>
      <c r="D315" s="82"/>
      <c r="E315" s="78">
        <v>1990</v>
      </c>
      <c r="F315" s="78"/>
      <c r="G315" s="78" t="s">
        <v>87</v>
      </c>
      <c r="H315" s="82">
        <v>2</v>
      </c>
      <c r="I315" s="78">
        <v>3</v>
      </c>
      <c r="J315" s="111">
        <v>980</v>
      </c>
      <c r="K315" s="78">
        <v>901.17</v>
      </c>
      <c r="L315" s="78">
        <v>901.17</v>
      </c>
      <c r="M315" s="78">
        <v>35</v>
      </c>
      <c r="N315" s="79">
        <f>'Приложение 2'!E318</f>
        <v>2551675.7200000002</v>
      </c>
      <c r="O315" s="78" t="s">
        <v>389</v>
      </c>
      <c r="P315" s="111">
        <v>0</v>
      </c>
      <c r="Q315" s="79">
        <v>96421.88</v>
      </c>
      <c r="R315" s="79">
        <f>N315-Q315</f>
        <v>2455253.8400000003</v>
      </c>
      <c r="S315" s="297">
        <f>N315/K315</f>
        <v>2831.5142758857933</v>
      </c>
      <c r="T315" s="297">
        <v>4180</v>
      </c>
      <c r="U315" s="108" t="s">
        <v>225</v>
      </c>
    </row>
    <row r="316" spans="1:21" s="110" customFormat="1" ht="22.5" hidden="1" customHeight="1">
      <c r="A316" s="501" t="s">
        <v>20</v>
      </c>
      <c r="B316" s="501"/>
      <c r="C316" s="287"/>
      <c r="D316" s="287"/>
      <c r="E316" s="54" t="s">
        <v>387</v>
      </c>
      <c r="F316" s="54" t="s">
        <v>387</v>
      </c>
      <c r="G316" s="54" t="s">
        <v>387</v>
      </c>
      <c r="H316" s="54" t="s">
        <v>387</v>
      </c>
      <c r="I316" s="54" t="s">
        <v>387</v>
      </c>
      <c r="J316" s="79">
        <f t="shared" ref="J316:P316" si="62">SUM(J314:J315)</f>
        <v>1960</v>
      </c>
      <c r="K316" s="79">
        <f t="shared" si="62"/>
        <v>1802.34</v>
      </c>
      <c r="L316" s="79">
        <f t="shared" si="62"/>
        <v>1802.34</v>
      </c>
      <c r="M316" s="44">
        <f t="shared" si="62"/>
        <v>71</v>
      </c>
      <c r="N316" s="79">
        <f t="shared" si="62"/>
        <v>5054598.5600000005</v>
      </c>
      <c r="O316" s="79">
        <f t="shared" si="62"/>
        <v>0</v>
      </c>
      <c r="P316" s="79">
        <f t="shared" si="62"/>
        <v>0</v>
      </c>
      <c r="Q316" s="79">
        <f>SUM(Q314:Q315)</f>
        <v>164905.04999999999</v>
      </c>
      <c r="R316" s="79">
        <f>SUM(R314:R315)</f>
        <v>4889693.51</v>
      </c>
      <c r="S316" s="297">
        <f>N316/K316</f>
        <v>2804.4645072516842</v>
      </c>
      <c r="T316" s="78"/>
      <c r="U316" s="82"/>
    </row>
    <row r="317" spans="1:21" s="110" customFormat="1" ht="9" hidden="1" customHeight="1">
      <c r="A317" s="504" t="s">
        <v>1056</v>
      </c>
      <c r="B317" s="504"/>
      <c r="C317" s="504"/>
      <c r="D317" s="504"/>
      <c r="E317" s="504"/>
      <c r="F317" s="504"/>
      <c r="G317" s="504"/>
      <c r="H317" s="504"/>
      <c r="I317" s="504"/>
      <c r="J317" s="504"/>
      <c r="K317" s="504"/>
      <c r="L317" s="504"/>
      <c r="M317" s="504"/>
      <c r="N317" s="504"/>
      <c r="O317" s="504"/>
      <c r="P317" s="504"/>
      <c r="Q317" s="504"/>
      <c r="R317" s="504"/>
      <c r="S317" s="504"/>
      <c r="T317" s="504"/>
      <c r="U317" s="504"/>
    </row>
    <row r="318" spans="1:21" s="110" customFormat="1" ht="9" hidden="1" customHeight="1">
      <c r="A318" s="78">
        <v>229</v>
      </c>
      <c r="B318" s="82" t="s">
        <v>21</v>
      </c>
      <c r="C318" s="82" t="s">
        <v>1000</v>
      </c>
      <c r="D318" s="82"/>
      <c r="E318" s="78">
        <v>1964</v>
      </c>
      <c r="F318" s="78"/>
      <c r="G318" s="78" t="s">
        <v>89</v>
      </c>
      <c r="H318" s="82">
        <v>2</v>
      </c>
      <c r="I318" s="78">
        <v>2</v>
      </c>
      <c r="J318" s="111">
        <v>800.6</v>
      </c>
      <c r="K318" s="111">
        <v>744.8</v>
      </c>
      <c r="L318" s="111">
        <v>701.7</v>
      </c>
      <c r="M318" s="78">
        <v>37</v>
      </c>
      <c r="N318" s="79">
        <f>'Приложение 2'!E321</f>
        <v>551093.68000000005</v>
      </c>
      <c r="O318" s="297">
        <v>0</v>
      </c>
      <c r="P318" s="111">
        <v>0</v>
      </c>
      <c r="Q318" s="111">
        <v>0</v>
      </c>
      <c r="R318" s="79">
        <f>N318</f>
        <v>551093.68000000005</v>
      </c>
      <c r="S318" s="297">
        <f>N318/K318</f>
        <v>739.92169709989275</v>
      </c>
      <c r="T318" s="297">
        <v>4984.6499999999996</v>
      </c>
      <c r="U318" s="82" t="s">
        <v>225</v>
      </c>
    </row>
    <row r="319" spans="1:21" s="110" customFormat="1" ht="21.75" hidden="1" customHeight="1">
      <c r="A319" s="501" t="s">
        <v>1057</v>
      </c>
      <c r="B319" s="501"/>
      <c r="C319" s="287"/>
      <c r="D319" s="287"/>
      <c r="E319" s="54" t="s">
        <v>387</v>
      </c>
      <c r="F319" s="54" t="s">
        <v>387</v>
      </c>
      <c r="G319" s="54" t="s">
        <v>387</v>
      </c>
      <c r="H319" s="54" t="s">
        <v>387</v>
      </c>
      <c r="I319" s="54" t="s">
        <v>387</v>
      </c>
      <c r="J319" s="79">
        <f t="shared" ref="J319:R319" si="63">J318</f>
        <v>800.6</v>
      </c>
      <c r="K319" s="79">
        <f t="shared" si="63"/>
        <v>744.8</v>
      </c>
      <c r="L319" s="79">
        <f t="shared" si="63"/>
        <v>701.7</v>
      </c>
      <c r="M319" s="80">
        <f t="shared" si="63"/>
        <v>37</v>
      </c>
      <c r="N319" s="79">
        <f t="shared" si="63"/>
        <v>551093.68000000005</v>
      </c>
      <c r="O319" s="79">
        <f t="shared" si="63"/>
        <v>0</v>
      </c>
      <c r="P319" s="79">
        <f t="shared" si="63"/>
        <v>0</v>
      </c>
      <c r="Q319" s="79">
        <f t="shared" si="63"/>
        <v>0</v>
      </c>
      <c r="R319" s="79">
        <f t="shared" si="63"/>
        <v>551093.68000000005</v>
      </c>
      <c r="S319" s="297">
        <f>N319/K319</f>
        <v>739.92169709989275</v>
      </c>
      <c r="T319" s="82"/>
      <c r="U319" s="82"/>
    </row>
    <row r="320" spans="1:21" s="110" customFormat="1" ht="9" hidden="1" customHeight="1">
      <c r="A320" s="504" t="s">
        <v>433</v>
      </c>
      <c r="B320" s="504"/>
      <c r="C320" s="504"/>
      <c r="D320" s="504"/>
      <c r="E320" s="504"/>
      <c r="F320" s="504"/>
      <c r="G320" s="504"/>
      <c r="H320" s="504"/>
      <c r="I320" s="504"/>
      <c r="J320" s="504"/>
      <c r="K320" s="504"/>
      <c r="L320" s="504"/>
      <c r="M320" s="504"/>
      <c r="N320" s="504"/>
      <c r="O320" s="504"/>
      <c r="P320" s="504"/>
      <c r="Q320" s="504"/>
      <c r="R320" s="504"/>
      <c r="S320" s="504"/>
      <c r="T320" s="504"/>
      <c r="U320" s="504"/>
    </row>
    <row r="321" spans="1:21" s="110" customFormat="1" ht="9" hidden="1" customHeight="1">
      <c r="A321" s="294">
        <v>230</v>
      </c>
      <c r="B321" s="68" t="s">
        <v>25</v>
      </c>
      <c r="C321" s="285" t="s">
        <v>1005</v>
      </c>
      <c r="D321" s="285"/>
      <c r="E321" s="294">
        <v>1980</v>
      </c>
      <c r="F321" s="294"/>
      <c r="G321" s="294" t="s">
        <v>87</v>
      </c>
      <c r="H321" s="294">
        <v>2</v>
      </c>
      <c r="I321" s="294">
        <v>3</v>
      </c>
      <c r="J321" s="297">
        <v>936</v>
      </c>
      <c r="K321" s="297">
        <v>871.3</v>
      </c>
      <c r="L321" s="297">
        <v>871.3</v>
      </c>
      <c r="M321" s="44">
        <v>55</v>
      </c>
      <c r="N321" s="297">
        <f>'Приложение 2'!E324</f>
        <v>3606258</v>
      </c>
      <c r="O321" s="297">
        <v>0</v>
      </c>
      <c r="P321" s="297">
        <v>0</v>
      </c>
      <c r="Q321" s="297">
        <v>0</v>
      </c>
      <c r="R321" s="297">
        <f>N321-Q321</f>
        <v>3606258</v>
      </c>
      <c r="S321" s="297">
        <f>N321/K321</f>
        <v>4138.9395156662458</v>
      </c>
      <c r="T321" s="297">
        <v>4733.8500000000004</v>
      </c>
      <c r="U321" s="82" t="s">
        <v>225</v>
      </c>
    </row>
    <row r="322" spans="1:21" s="110" customFormat="1" ht="21.75" hidden="1" customHeight="1">
      <c r="A322" s="503" t="s">
        <v>434</v>
      </c>
      <c r="B322" s="503"/>
      <c r="C322" s="285"/>
      <c r="D322" s="285"/>
      <c r="E322" s="54" t="s">
        <v>387</v>
      </c>
      <c r="F322" s="54" t="s">
        <v>387</v>
      </c>
      <c r="G322" s="54" t="s">
        <v>387</v>
      </c>
      <c r="H322" s="54" t="s">
        <v>387</v>
      </c>
      <c r="I322" s="54" t="s">
        <v>387</v>
      </c>
      <c r="J322" s="297">
        <f t="shared" ref="J322:Q322" si="64">SUM(J321:J321)</f>
        <v>936</v>
      </c>
      <c r="K322" s="297">
        <f t="shared" si="64"/>
        <v>871.3</v>
      </c>
      <c r="L322" s="297">
        <f t="shared" si="64"/>
        <v>871.3</v>
      </c>
      <c r="M322" s="44">
        <f t="shared" si="64"/>
        <v>55</v>
      </c>
      <c r="N322" s="297">
        <f t="shared" si="64"/>
        <v>3606258</v>
      </c>
      <c r="O322" s="297">
        <f t="shared" si="64"/>
        <v>0</v>
      </c>
      <c r="P322" s="297">
        <f t="shared" si="64"/>
        <v>0</v>
      </c>
      <c r="Q322" s="297">
        <f t="shared" si="64"/>
        <v>0</v>
      </c>
      <c r="R322" s="297">
        <f>SUM(R321:R321)</f>
        <v>3606258</v>
      </c>
      <c r="S322" s="297">
        <f>N322/K322</f>
        <v>4138.9395156662458</v>
      </c>
      <c r="T322" s="297"/>
      <c r="U322" s="82"/>
    </row>
    <row r="323" spans="1:21" s="110" customFormat="1" ht="9" hidden="1" customHeight="1">
      <c r="A323" s="504" t="s">
        <v>425</v>
      </c>
      <c r="B323" s="504"/>
      <c r="C323" s="504"/>
      <c r="D323" s="504"/>
      <c r="E323" s="504"/>
      <c r="F323" s="504"/>
      <c r="G323" s="504"/>
      <c r="H323" s="504"/>
      <c r="I323" s="504"/>
      <c r="J323" s="504"/>
      <c r="K323" s="504"/>
      <c r="L323" s="504"/>
      <c r="M323" s="504"/>
      <c r="N323" s="504"/>
      <c r="O323" s="504"/>
      <c r="P323" s="504"/>
      <c r="Q323" s="504"/>
      <c r="R323" s="504"/>
      <c r="S323" s="504"/>
      <c r="T323" s="504"/>
      <c r="U323" s="504"/>
    </row>
    <row r="324" spans="1:21" s="110" customFormat="1" ht="9" hidden="1" customHeight="1">
      <c r="A324" s="294">
        <v>231</v>
      </c>
      <c r="B324" s="68" t="s">
        <v>26</v>
      </c>
      <c r="C324" s="285" t="s">
        <v>998</v>
      </c>
      <c r="D324" s="285"/>
      <c r="E324" s="294">
        <v>1962</v>
      </c>
      <c r="F324" s="294"/>
      <c r="G324" s="294" t="s">
        <v>87</v>
      </c>
      <c r="H324" s="294">
        <v>2</v>
      </c>
      <c r="I324" s="294">
        <v>4</v>
      </c>
      <c r="J324" s="297">
        <v>597.29999999999995</v>
      </c>
      <c r="K324" s="297">
        <v>450</v>
      </c>
      <c r="L324" s="297">
        <v>450</v>
      </c>
      <c r="M324" s="294">
        <v>12</v>
      </c>
      <c r="N324" s="297">
        <f>'Приложение 2'!E327</f>
        <v>1551397.34</v>
      </c>
      <c r="O324" s="297">
        <v>0</v>
      </c>
      <c r="P324" s="297">
        <v>0</v>
      </c>
      <c r="Q324" s="297">
        <v>0</v>
      </c>
      <c r="R324" s="297">
        <f>N324</f>
        <v>1551397.34</v>
      </c>
      <c r="S324" s="297">
        <f>N324/K324</f>
        <v>3447.5496444444448</v>
      </c>
      <c r="T324" s="297">
        <v>4503.95</v>
      </c>
      <c r="U324" s="46" t="s">
        <v>225</v>
      </c>
    </row>
    <row r="325" spans="1:21" s="110" customFormat="1" ht="9" hidden="1" customHeight="1">
      <c r="A325" s="294">
        <v>232</v>
      </c>
      <c r="B325" s="68" t="s">
        <v>27</v>
      </c>
      <c r="C325" s="285" t="s">
        <v>998</v>
      </c>
      <c r="D325" s="285"/>
      <c r="E325" s="294">
        <v>1969</v>
      </c>
      <c r="F325" s="294"/>
      <c r="G325" s="294" t="s">
        <v>87</v>
      </c>
      <c r="H325" s="294" t="s">
        <v>72</v>
      </c>
      <c r="I325" s="294">
        <v>2</v>
      </c>
      <c r="J325" s="297">
        <v>480</v>
      </c>
      <c r="K325" s="297">
        <v>370</v>
      </c>
      <c r="L325" s="297">
        <v>370</v>
      </c>
      <c r="M325" s="294">
        <v>13</v>
      </c>
      <c r="N325" s="297">
        <f>'Приложение 2'!E328</f>
        <v>1350576.98</v>
      </c>
      <c r="O325" s="297">
        <v>0</v>
      </c>
      <c r="P325" s="297">
        <v>0</v>
      </c>
      <c r="Q325" s="297">
        <v>0</v>
      </c>
      <c r="R325" s="297">
        <f>N325</f>
        <v>1350576.98</v>
      </c>
      <c r="S325" s="297">
        <f>N325/K325</f>
        <v>3650.2080540540542</v>
      </c>
      <c r="T325" s="297">
        <v>4503.95</v>
      </c>
      <c r="U325" s="46" t="s">
        <v>225</v>
      </c>
    </row>
    <row r="326" spans="1:21" s="110" customFormat="1" ht="21" hidden="1" customHeight="1">
      <c r="A326" s="503" t="s">
        <v>426</v>
      </c>
      <c r="B326" s="503"/>
      <c r="C326" s="285"/>
      <c r="D326" s="285"/>
      <c r="E326" s="54" t="s">
        <v>387</v>
      </c>
      <c r="F326" s="54" t="s">
        <v>387</v>
      </c>
      <c r="G326" s="54" t="s">
        <v>387</v>
      </c>
      <c r="H326" s="54" t="s">
        <v>387</v>
      </c>
      <c r="I326" s="54" t="s">
        <v>387</v>
      </c>
      <c r="J326" s="297">
        <f t="shared" ref="J326:R326" si="65">SUM(J324:J325)</f>
        <v>1077.3</v>
      </c>
      <c r="K326" s="297">
        <f t="shared" si="65"/>
        <v>820</v>
      </c>
      <c r="L326" s="297">
        <f t="shared" si="65"/>
        <v>820</v>
      </c>
      <c r="M326" s="44">
        <f t="shared" si="65"/>
        <v>25</v>
      </c>
      <c r="N326" s="297">
        <f t="shared" si="65"/>
        <v>2901974.3200000003</v>
      </c>
      <c r="O326" s="297">
        <f t="shared" si="65"/>
        <v>0</v>
      </c>
      <c r="P326" s="297">
        <f t="shared" si="65"/>
        <v>0</v>
      </c>
      <c r="Q326" s="297">
        <f t="shared" si="65"/>
        <v>0</v>
      </c>
      <c r="R326" s="297">
        <f t="shared" si="65"/>
        <v>2901974.3200000003</v>
      </c>
      <c r="S326" s="297">
        <f>N326/K326</f>
        <v>3538.9930731707323</v>
      </c>
      <c r="T326" s="303"/>
      <c r="U326" s="46"/>
    </row>
    <row r="327" spans="1:21" s="110" customFormat="1" ht="9" hidden="1" customHeight="1">
      <c r="A327" s="502" t="s">
        <v>28</v>
      </c>
      <c r="B327" s="502"/>
      <c r="C327" s="502"/>
      <c r="D327" s="502"/>
      <c r="E327" s="502"/>
      <c r="F327" s="502"/>
      <c r="G327" s="502"/>
      <c r="H327" s="502"/>
      <c r="I327" s="502"/>
      <c r="J327" s="502"/>
      <c r="K327" s="502"/>
      <c r="L327" s="502"/>
      <c r="M327" s="502"/>
      <c r="N327" s="502"/>
      <c r="O327" s="502"/>
      <c r="P327" s="502"/>
      <c r="Q327" s="502"/>
      <c r="R327" s="502"/>
      <c r="S327" s="502"/>
      <c r="T327" s="502"/>
      <c r="U327" s="502"/>
    </row>
    <row r="328" spans="1:21" s="110" customFormat="1" ht="9" hidden="1" customHeight="1">
      <c r="A328" s="294">
        <v>233</v>
      </c>
      <c r="B328" s="68" t="s">
        <v>30</v>
      </c>
      <c r="C328" s="285" t="s">
        <v>998</v>
      </c>
      <c r="D328" s="285"/>
      <c r="E328" s="294">
        <v>1970</v>
      </c>
      <c r="F328" s="294"/>
      <c r="G328" s="294" t="s">
        <v>87</v>
      </c>
      <c r="H328" s="294" t="s">
        <v>72</v>
      </c>
      <c r="I328" s="294" t="s">
        <v>72</v>
      </c>
      <c r="J328" s="297">
        <v>490.5</v>
      </c>
      <c r="K328" s="297">
        <v>459.7</v>
      </c>
      <c r="L328" s="297">
        <v>298.2</v>
      </c>
      <c r="M328" s="44">
        <v>13</v>
      </c>
      <c r="N328" s="297">
        <f>'Приложение 2'!E331</f>
        <v>1303063.58</v>
      </c>
      <c r="O328" s="297">
        <v>0</v>
      </c>
      <c r="P328" s="297">
        <v>0</v>
      </c>
      <c r="Q328" s="297">
        <v>0</v>
      </c>
      <c r="R328" s="297">
        <f t="shared" ref="R328:R331" si="66">N328</f>
        <v>1303063.58</v>
      </c>
      <c r="S328" s="297">
        <v>3328.11</v>
      </c>
      <c r="T328" s="297">
        <v>4503.95</v>
      </c>
      <c r="U328" s="46" t="s">
        <v>225</v>
      </c>
    </row>
    <row r="329" spans="1:21" s="110" customFormat="1" ht="9" hidden="1" customHeight="1">
      <c r="A329" s="294">
        <v>234</v>
      </c>
      <c r="B329" s="68" t="s">
        <v>31</v>
      </c>
      <c r="C329" s="285" t="s">
        <v>998</v>
      </c>
      <c r="D329" s="285"/>
      <c r="E329" s="294">
        <v>1948</v>
      </c>
      <c r="F329" s="294"/>
      <c r="G329" s="294" t="s">
        <v>87</v>
      </c>
      <c r="H329" s="294" t="s">
        <v>72</v>
      </c>
      <c r="I329" s="294">
        <v>1</v>
      </c>
      <c r="J329" s="297">
        <v>558.29999999999995</v>
      </c>
      <c r="K329" s="297">
        <v>498.1</v>
      </c>
      <c r="L329" s="297">
        <v>326.39999999999998</v>
      </c>
      <c r="M329" s="44">
        <v>15</v>
      </c>
      <c r="N329" s="297">
        <f>'Приложение 2'!E332</f>
        <v>1488399.29</v>
      </c>
      <c r="O329" s="297">
        <v>0</v>
      </c>
      <c r="P329" s="297">
        <v>0</v>
      </c>
      <c r="Q329" s="297">
        <v>0</v>
      </c>
      <c r="R329" s="297">
        <f t="shared" si="66"/>
        <v>1488399.29</v>
      </c>
      <c r="S329" s="297">
        <v>3223.39</v>
      </c>
      <c r="T329" s="297">
        <v>4503.95</v>
      </c>
      <c r="U329" s="46" t="s">
        <v>225</v>
      </c>
    </row>
    <row r="330" spans="1:21" s="110" customFormat="1" ht="9" hidden="1" customHeight="1">
      <c r="A330" s="294">
        <v>235</v>
      </c>
      <c r="B330" s="68" t="s">
        <v>32</v>
      </c>
      <c r="C330" s="285" t="s">
        <v>998</v>
      </c>
      <c r="D330" s="285"/>
      <c r="E330" s="294">
        <v>1962</v>
      </c>
      <c r="F330" s="294"/>
      <c r="G330" s="294" t="s">
        <v>87</v>
      </c>
      <c r="H330" s="294">
        <v>2</v>
      </c>
      <c r="I330" s="294">
        <v>1</v>
      </c>
      <c r="J330" s="297">
        <v>240.3</v>
      </c>
      <c r="K330" s="297">
        <v>218.3</v>
      </c>
      <c r="L330" s="297">
        <v>143.9</v>
      </c>
      <c r="M330" s="44">
        <v>12</v>
      </c>
      <c r="N330" s="297">
        <f>'Приложение 2'!E333</f>
        <v>740359.55</v>
      </c>
      <c r="O330" s="297">
        <v>0</v>
      </c>
      <c r="P330" s="297">
        <v>0</v>
      </c>
      <c r="Q330" s="297">
        <v>0</v>
      </c>
      <c r="R330" s="297">
        <f t="shared" si="66"/>
        <v>740359.55</v>
      </c>
      <c r="S330" s="297">
        <v>3354.58</v>
      </c>
      <c r="T330" s="297">
        <v>4503.95</v>
      </c>
      <c r="U330" s="46" t="s">
        <v>225</v>
      </c>
    </row>
    <row r="331" spans="1:21" s="110" customFormat="1" ht="9" hidden="1" customHeight="1">
      <c r="A331" s="294">
        <v>236</v>
      </c>
      <c r="B331" s="68" t="s">
        <v>33</v>
      </c>
      <c r="C331" s="285" t="s">
        <v>998</v>
      </c>
      <c r="D331" s="285"/>
      <c r="E331" s="294">
        <v>1960</v>
      </c>
      <c r="F331" s="294"/>
      <c r="G331" s="294" t="s">
        <v>87</v>
      </c>
      <c r="H331" s="294" t="s">
        <v>72</v>
      </c>
      <c r="I331" s="294" t="s">
        <v>71</v>
      </c>
      <c r="J331" s="297">
        <v>297.2</v>
      </c>
      <c r="K331" s="297">
        <v>276.2</v>
      </c>
      <c r="L331" s="297">
        <v>173.9</v>
      </c>
      <c r="M331" s="44">
        <v>10</v>
      </c>
      <c r="N331" s="297">
        <f>'Приложение 2'!E334</f>
        <v>869996.32</v>
      </c>
      <c r="O331" s="297">
        <v>0</v>
      </c>
      <c r="P331" s="297">
        <v>0</v>
      </c>
      <c r="Q331" s="297">
        <v>0</v>
      </c>
      <c r="R331" s="297">
        <f t="shared" si="66"/>
        <v>869996.32</v>
      </c>
      <c r="S331" s="297">
        <v>3211.5</v>
      </c>
      <c r="T331" s="297">
        <v>4503.95</v>
      </c>
      <c r="U331" s="46" t="s">
        <v>225</v>
      </c>
    </row>
    <row r="332" spans="1:21" s="110" customFormat="1" ht="21" hidden="1" customHeight="1">
      <c r="A332" s="503" t="s">
        <v>29</v>
      </c>
      <c r="B332" s="503"/>
      <c r="C332" s="285"/>
      <c r="D332" s="285"/>
      <c r="E332" s="54" t="s">
        <v>387</v>
      </c>
      <c r="F332" s="54" t="s">
        <v>387</v>
      </c>
      <c r="G332" s="54" t="s">
        <v>387</v>
      </c>
      <c r="H332" s="54" t="s">
        <v>387</v>
      </c>
      <c r="I332" s="54" t="s">
        <v>387</v>
      </c>
      <c r="J332" s="297">
        <f t="shared" ref="J332:R332" si="67">SUM(J328:J331)</f>
        <v>1586.3</v>
      </c>
      <c r="K332" s="297">
        <f t="shared" si="67"/>
        <v>1452.3</v>
      </c>
      <c r="L332" s="297">
        <f t="shared" si="67"/>
        <v>942.39999999999986</v>
      </c>
      <c r="M332" s="44">
        <f t="shared" si="67"/>
        <v>50</v>
      </c>
      <c r="N332" s="297">
        <f t="shared" si="67"/>
        <v>4401818.74</v>
      </c>
      <c r="O332" s="297">
        <f t="shared" si="67"/>
        <v>0</v>
      </c>
      <c r="P332" s="297">
        <f t="shared" si="67"/>
        <v>0</v>
      </c>
      <c r="Q332" s="297">
        <f t="shared" si="67"/>
        <v>0</v>
      </c>
      <c r="R332" s="297">
        <f t="shared" si="67"/>
        <v>4401818.74</v>
      </c>
      <c r="S332" s="297">
        <f>N332/K332</f>
        <v>3030.929380981891</v>
      </c>
      <c r="T332" s="297"/>
      <c r="U332" s="46"/>
    </row>
    <row r="333" spans="1:21" s="110" customFormat="1" ht="9" hidden="1" customHeight="1">
      <c r="A333" s="502" t="s">
        <v>34</v>
      </c>
      <c r="B333" s="502"/>
      <c r="C333" s="502"/>
      <c r="D333" s="502"/>
      <c r="E333" s="502"/>
      <c r="F333" s="502"/>
      <c r="G333" s="502"/>
      <c r="H333" s="502"/>
      <c r="I333" s="502"/>
      <c r="J333" s="502"/>
      <c r="K333" s="502"/>
      <c r="L333" s="502"/>
      <c r="M333" s="502"/>
      <c r="N333" s="502"/>
      <c r="O333" s="502"/>
      <c r="P333" s="502"/>
      <c r="Q333" s="502"/>
      <c r="R333" s="502"/>
      <c r="S333" s="502"/>
      <c r="T333" s="502"/>
      <c r="U333" s="502"/>
    </row>
    <row r="334" spans="1:21" s="110" customFormat="1" ht="9" hidden="1" customHeight="1">
      <c r="A334" s="294">
        <v>237</v>
      </c>
      <c r="B334" s="68" t="s">
        <v>36</v>
      </c>
      <c r="C334" s="285" t="s">
        <v>997</v>
      </c>
      <c r="D334" s="285"/>
      <c r="E334" s="294">
        <v>1983</v>
      </c>
      <c r="F334" s="294">
        <v>1983</v>
      </c>
      <c r="G334" s="294" t="s">
        <v>87</v>
      </c>
      <c r="H334" s="294">
        <v>5</v>
      </c>
      <c r="I334" s="294">
        <v>10</v>
      </c>
      <c r="J334" s="297">
        <v>7782.18</v>
      </c>
      <c r="K334" s="297">
        <v>7582.18</v>
      </c>
      <c r="L334" s="297">
        <v>6998.18</v>
      </c>
      <c r="M334" s="294">
        <v>277</v>
      </c>
      <c r="N334" s="297">
        <f>'Приложение 2'!E337</f>
        <v>8244894.0599999996</v>
      </c>
      <c r="O334" s="297">
        <v>0</v>
      </c>
      <c r="P334" s="297">
        <v>0</v>
      </c>
      <c r="Q334" s="297">
        <v>0</v>
      </c>
      <c r="R334" s="297">
        <f>N334</f>
        <v>8244894.0599999996</v>
      </c>
      <c r="S334" s="297">
        <f>N334/K334</f>
        <v>1087.4041581708689</v>
      </c>
      <c r="T334" s="297">
        <v>4180</v>
      </c>
      <c r="U334" s="46" t="s">
        <v>225</v>
      </c>
    </row>
    <row r="335" spans="1:21" s="110" customFormat="1" ht="9" hidden="1" customHeight="1">
      <c r="A335" s="294">
        <v>238</v>
      </c>
      <c r="B335" s="68" t="s">
        <v>37</v>
      </c>
      <c r="C335" s="285" t="s">
        <v>998</v>
      </c>
      <c r="D335" s="285"/>
      <c r="E335" s="294">
        <v>1961</v>
      </c>
      <c r="F335" s="294">
        <v>1961</v>
      </c>
      <c r="G335" s="294" t="s">
        <v>87</v>
      </c>
      <c r="H335" s="294">
        <v>2</v>
      </c>
      <c r="I335" s="294">
        <v>1</v>
      </c>
      <c r="J335" s="297">
        <v>320</v>
      </c>
      <c r="K335" s="297">
        <v>305</v>
      </c>
      <c r="L335" s="297">
        <v>278</v>
      </c>
      <c r="M335" s="294">
        <v>7</v>
      </c>
      <c r="N335" s="297">
        <f>'Приложение 2'!E338</f>
        <v>795621.26</v>
      </c>
      <c r="O335" s="297">
        <v>0</v>
      </c>
      <c r="P335" s="297">
        <v>0</v>
      </c>
      <c r="Q335" s="297">
        <v>0</v>
      </c>
      <c r="R335" s="297">
        <f>N335</f>
        <v>795621.26</v>
      </c>
      <c r="S335" s="297">
        <f>N335/K335</f>
        <v>2608.5942950819672</v>
      </c>
      <c r="T335" s="297">
        <v>4503.95</v>
      </c>
      <c r="U335" s="46" t="s">
        <v>225</v>
      </c>
    </row>
    <row r="336" spans="1:21" s="110" customFormat="1" ht="9" hidden="1" customHeight="1">
      <c r="A336" s="294">
        <v>239</v>
      </c>
      <c r="B336" s="68" t="s">
        <v>369</v>
      </c>
      <c r="C336" s="285" t="s">
        <v>997</v>
      </c>
      <c r="D336" s="285"/>
      <c r="E336" s="294">
        <v>1985</v>
      </c>
      <c r="F336" s="294">
        <v>1985</v>
      </c>
      <c r="G336" s="294" t="s">
        <v>87</v>
      </c>
      <c r="H336" s="294">
        <v>1</v>
      </c>
      <c r="I336" s="294">
        <v>12</v>
      </c>
      <c r="J336" s="297">
        <v>639</v>
      </c>
      <c r="K336" s="297">
        <v>523.70000000000005</v>
      </c>
      <c r="L336" s="297">
        <v>523.70000000000005</v>
      </c>
      <c r="M336" s="294">
        <v>18</v>
      </c>
      <c r="N336" s="297">
        <f>'Приложение 2'!E339</f>
        <v>1237806.0900000001</v>
      </c>
      <c r="O336" s="297">
        <v>0</v>
      </c>
      <c r="P336" s="297">
        <v>0</v>
      </c>
      <c r="Q336" s="297">
        <v>0</v>
      </c>
      <c r="R336" s="297">
        <f>N336</f>
        <v>1237806.0900000001</v>
      </c>
      <c r="S336" s="297">
        <f>N336/K336</f>
        <v>2363.5785564254343</v>
      </c>
      <c r="T336" s="297">
        <v>4180</v>
      </c>
      <c r="U336" s="46" t="s">
        <v>225</v>
      </c>
    </row>
    <row r="337" spans="1:21" s="110" customFormat="1" ht="21.75" hidden="1" customHeight="1">
      <c r="A337" s="503" t="s">
        <v>35</v>
      </c>
      <c r="B337" s="503"/>
      <c r="C337" s="285"/>
      <c r="D337" s="285"/>
      <c r="E337" s="54" t="s">
        <v>387</v>
      </c>
      <c r="F337" s="54" t="s">
        <v>387</v>
      </c>
      <c r="G337" s="54" t="s">
        <v>387</v>
      </c>
      <c r="H337" s="54" t="s">
        <v>387</v>
      </c>
      <c r="I337" s="54" t="s">
        <v>387</v>
      </c>
      <c r="J337" s="297">
        <f t="shared" ref="J337:R337" si="68">SUM(J334:J336)</f>
        <v>8741.18</v>
      </c>
      <c r="K337" s="297">
        <f t="shared" si="68"/>
        <v>8410.880000000001</v>
      </c>
      <c r="L337" s="297">
        <f t="shared" si="68"/>
        <v>7799.88</v>
      </c>
      <c r="M337" s="44">
        <f t="shared" si="68"/>
        <v>302</v>
      </c>
      <c r="N337" s="297">
        <f t="shared" si="68"/>
        <v>10278321.41</v>
      </c>
      <c r="O337" s="297">
        <f t="shared" si="68"/>
        <v>0</v>
      </c>
      <c r="P337" s="297">
        <f t="shared" si="68"/>
        <v>0</v>
      </c>
      <c r="Q337" s="297">
        <f t="shared" si="68"/>
        <v>0</v>
      </c>
      <c r="R337" s="297">
        <f t="shared" si="68"/>
        <v>10278321.41</v>
      </c>
      <c r="S337" s="297">
        <f>N337/K337</f>
        <v>1222.0268759035914</v>
      </c>
      <c r="T337" s="297"/>
      <c r="U337" s="46"/>
    </row>
    <row r="338" spans="1:21" s="110" customFormat="1" ht="9" hidden="1" customHeight="1">
      <c r="A338" s="502" t="s">
        <v>39</v>
      </c>
      <c r="B338" s="502"/>
      <c r="C338" s="502"/>
      <c r="D338" s="502"/>
      <c r="E338" s="502"/>
      <c r="F338" s="502"/>
      <c r="G338" s="502"/>
      <c r="H338" s="502"/>
      <c r="I338" s="502"/>
      <c r="J338" s="502"/>
      <c r="K338" s="502"/>
      <c r="L338" s="502"/>
      <c r="M338" s="502"/>
      <c r="N338" s="502"/>
      <c r="O338" s="502"/>
      <c r="P338" s="502"/>
      <c r="Q338" s="502"/>
      <c r="R338" s="502"/>
      <c r="S338" s="502"/>
      <c r="T338" s="502"/>
      <c r="U338" s="502"/>
    </row>
    <row r="339" spans="1:21" s="110" customFormat="1" ht="10.5" customHeight="1">
      <c r="A339" s="294">
        <v>1</v>
      </c>
      <c r="B339" s="68" t="s">
        <v>41</v>
      </c>
      <c r="C339" s="285" t="s">
        <v>998</v>
      </c>
      <c r="D339" s="285"/>
      <c r="E339" s="294">
        <v>1963</v>
      </c>
      <c r="F339" s="294"/>
      <c r="G339" s="294" t="s">
        <v>87</v>
      </c>
      <c r="H339" s="294">
        <v>4</v>
      </c>
      <c r="I339" s="294">
        <v>2</v>
      </c>
      <c r="J339" s="61">
        <v>1419.3</v>
      </c>
      <c r="K339" s="305">
        <v>1293.46</v>
      </c>
      <c r="L339" s="294">
        <v>1249.95</v>
      </c>
      <c r="M339" s="305">
        <v>53</v>
      </c>
      <c r="N339" s="297">
        <f>'Приложение 2'!E342</f>
        <v>2068137.48</v>
      </c>
      <c r="O339" s="297">
        <v>0</v>
      </c>
      <c r="P339" s="297">
        <v>0</v>
      </c>
      <c r="Q339" s="297">
        <v>0</v>
      </c>
      <c r="R339" s="297">
        <f>N339</f>
        <v>2068137.48</v>
      </c>
      <c r="S339" s="297">
        <f>N339/K339</f>
        <v>1598.9187759961653</v>
      </c>
      <c r="T339" s="297">
        <v>4503.95</v>
      </c>
      <c r="U339" s="46" t="s">
        <v>225</v>
      </c>
    </row>
    <row r="340" spans="1:21" s="110" customFormat="1" ht="11.25" customHeight="1">
      <c r="A340" s="294">
        <v>2</v>
      </c>
      <c r="B340" s="68" t="s">
        <v>40</v>
      </c>
      <c r="C340" s="285" t="s">
        <v>1000</v>
      </c>
      <c r="D340" s="285"/>
      <c r="E340" s="294">
        <v>1950</v>
      </c>
      <c r="F340" s="294"/>
      <c r="G340" s="294" t="s">
        <v>87</v>
      </c>
      <c r="H340" s="294" t="s">
        <v>72</v>
      </c>
      <c r="I340" s="294" t="s">
        <v>72</v>
      </c>
      <c r="J340" s="297">
        <v>695.18</v>
      </c>
      <c r="K340" s="297">
        <v>638.03</v>
      </c>
      <c r="L340" s="297">
        <v>638.03</v>
      </c>
      <c r="M340" s="44">
        <v>26</v>
      </c>
      <c r="N340" s="297">
        <f>'Приложение 2'!E343</f>
        <v>2006047.57</v>
      </c>
      <c r="O340" s="297">
        <v>0</v>
      </c>
      <c r="P340" s="297">
        <v>0</v>
      </c>
      <c r="Q340" s="297">
        <v>0</v>
      </c>
      <c r="R340" s="297">
        <f>N340</f>
        <v>2006047.57</v>
      </c>
      <c r="S340" s="297">
        <f>N340/K340</f>
        <v>3144.1273451091643</v>
      </c>
      <c r="T340" s="337">
        <f>4984.65+322.91</f>
        <v>5307.5599999999995</v>
      </c>
      <c r="U340" s="46" t="s">
        <v>225</v>
      </c>
    </row>
    <row r="341" spans="1:21" s="110" customFormat="1" ht="21.75" hidden="1" customHeight="1">
      <c r="A341" s="503" t="s">
        <v>38</v>
      </c>
      <c r="B341" s="503"/>
      <c r="C341" s="285"/>
      <c r="D341" s="285"/>
      <c r="E341" s="54" t="s">
        <v>387</v>
      </c>
      <c r="F341" s="54" t="s">
        <v>387</v>
      </c>
      <c r="G341" s="54" t="s">
        <v>387</v>
      </c>
      <c r="H341" s="54" t="s">
        <v>387</v>
      </c>
      <c r="I341" s="54" t="s">
        <v>387</v>
      </c>
      <c r="J341" s="297">
        <f t="shared" ref="J341:R341" si="69">SUM(J339:J340)</f>
        <v>2114.48</v>
      </c>
      <c r="K341" s="297">
        <f t="shared" si="69"/>
        <v>1931.49</v>
      </c>
      <c r="L341" s="297">
        <f t="shared" si="69"/>
        <v>1887.98</v>
      </c>
      <c r="M341" s="44">
        <f t="shared" si="69"/>
        <v>79</v>
      </c>
      <c r="N341" s="297">
        <f t="shared" si="69"/>
        <v>4074185.05</v>
      </c>
      <c r="O341" s="297">
        <f t="shared" si="69"/>
        <v>0</v>
      </c>
      <c r="P341" s="297">
        <f t="shared" si="69"/>
        <v>0</v>
      </c>
      <c r="Q341" s="297">
        <f t="shared" si="69"/>
        <v>0</v>
      </c>
      <c r="R341" s="297">
        <f t="shared" si="69"/>
        <v>4074185.05</v>
      </c>
      <c r="S341" s="297">
        <f>N341/K341</f>
        <v>2109.348249279054</v>
      </c>
      <c r="T341" s="297"/>
      <c r="U341" s="46"/>
    </row>
    <row r="342" spans="1:21" s="110" customFormat="1" ht="9" hidden="1" customHeight="1">
      <c r="A342" s="502" t="s">
        <v>44</v>
      </c>
      <c r="B342" s="502"/>
      <c r="C342" s="502"/>
      <c r="D342" s="502"/>
      <c r="E342" s="502"/>
      <c r="F342" s="502"/>
      <c r="G342" s="502"/>
      <c r="H342" s="502"/>
      <c r="I342" s="502"/>
      <c r="J342" s="502"/>
      <c r="K342" s="502"/>
      <c r="L342" s="502"/>
      <c r="M342" s="502"/>
      <c r="N342" s="502"/>
      <c r="O342" s="502"/>
      <c r="P342" s="502"/>
      <c r="Q342" s="502"/>
      <c r="R342" s="502"/>
      <c r="S342" s="502"/>
      <c r="T342" s="502"/>
      <c r="U342" s="502"/>
    </row>
    <row r="343" spans="1:21" s="110" customFormat="1" ht="9" hidden="1" customHeight="1">
      <c r="A343" s="294">
        <v>242</v>
      </c>
      <c r="B343" s="68" t="s">
        <v>45</v>
      </c>
      <c r="C343" s="285" t="s">
        <v>998</v>
      </c>
      <c r="D343" s="285"/>
      <c r="E343" s="294">
        <v>1937</v>
      </c>
      <c r="F343" s="294"/>
      <c r="G343" s="294" t="s">
        <v>87</v>
      </c>
      <c r="H343" s="294">
        <v>2</v>
      </c>
      <c r="I343" s="294">
        <v>3</v>
      </c>
      <c r="J343" s="297">
        <v>651.4</v>
      </c>
      <c r="K343" s="297">
        <v>573.4</v>
      </c>
      <c r="L343" s="297">
        <v>573.4</v>
      </c>
      <c r="M343" s="44">
        <v>24</v>
      </c>
      <c r="N343" s="297">
        <f>'Приложение 2'!E346</f>
        <v>1720751.65</v>
      </c>
      <c r="O343" s="61">
        <v>0</v>
      </c>
      <c r="P343" s="61">
        <v>0</v>
      </c>
      <c r="Q343" s="61">
        <v>0</v>
      </c>
      <c r="R343" s="297">
        <f>N343</f>
        <v>1720751.65</v>
      </c>
      <c r="S343" s="297">
        <f t="shared" ref="S343:S356" si="70">N343/K343</f>
        <v>3000.9620683641438</v>
      </c>
      <c r="T343" s="297">
        <v>4503.95</v>
      </c>
      <c r="U343" s="46" t="s">
        <v>225</v>
      </c>
    </row>
    <row r="344" spans="1:21" s="110" customFormat="1" ht="9" hidden="1" customHeight="1">
      <c r="A344" s="294">
        <v>243</v>
      </c>
      <c r="B344" s="68" t="s">
        <v>46</v>
      </c>
      <c r="C344" s="285" t="s">
        <v>998</v>
      </c>
      <c r="D344" s="285"/>
      <c r="E344" s="294">
        <v>1957</v>
      </c>
      <c r="F344" s="294"/>
      <c r="G344" s="294" t="s">
        <v>87</v>
      </c>
      <c r="H344" s="294">
        <v>2</v>
      </c>
      <c r="I344" s="294">
        <v>1</v>
      </c>
      <c r="J344" s="297">
        <v>481.9</v>
      </c>
      <c r="K344" s="297">
        <v>440.79999999999995</v>
      </c>
      <c r="L344" s="297">
        <v>373.9</v>
      </c>
      <c r="M344" s="44">
        <v>17</v>
      </c>
      <c r="N344" s="297">
        <f>'Приложение 2'!E347</f>
        <v>1285114.48</v>
      </c>
      <c r="O344" s="61">
        <v>0</v>
      </c>
      <c r="P344" s="61">
        <v>0</v>
      </c>
      <c r="Q344" s="61">
        <v>0</v>
      </c>
      <c r="R344" s="297">
        <f t="shared" ref="R344:R357" si="71">N344</f>
        <v>1285114.48</v>
      </c>
      <c r="S344" s="297">
        <f t="shared" si="70"/>
        <v>2915.4139745916518</v>
      </c>
      <c r="T344" s="297">
        <v>4503.95</v>
      </c>
      <c r="U344" s="46" t="s">
        <v>225</v>
      </c>
    </row>
    <row r="345" spans="1:21" s="110" customFormat="1" ht="9" hidden="1" customHeight="1">
      <c r="A345" s="294">
        <v>244</v>
      </c>
      <c r="B345" s="68" t="s">
        <v>47</v>
      </c>
      <c r="C345" s="285" t="s">
        <v>998</v>
      </c>
      <c r="D345" s="285"/>
      <c r="E345" s="294">
        <v>1972</v>
      </c>
      <c r="F345" s="294"/>
      <c r="G345" s="294" t="s">
        <v>87</v>
      </c>
      <c r="H345" s="294">
        <v>2</v>
      </c>
      <c r="I345" s="294">
        <v>2</v>
      </c>
      <c r="J345" s="297">
        <v>775.6</v>
      </c>
      <c r="K345" s="297">
        <v>716</v>
      </c>
      <c r="L345" s="297">
        <v>716</v>
      </c>
      <c r="M345" s="44">
        <v>28</v>
      </c>
      <c r="N345" s="297">
        <f>'Приложение 2'!E348</f>
        <v>2005619.8</v>
      </c>
      <c r="O345" s="61">
        <v>0</v>
      </c>
      <c r="P345" s="61">
        <v>0</v>
      </c>
      <c r="Q345" s="61">
        <v>0</v>
      </c>
      <c r="R345" s="297">
        <f t="shared" si="71"/>
        <v>2005619.8</v>
      </c>
      <c r="S345" s="297">
        <f t="shared" si="70"/>
        <v>2801.1449720670394</v>
      </c>
      <c r="T345" s="297">
        <v>4503.95</v>
      </c>
      <c r="U345" s="46" t="s">
        <v>225</v>
      </c>
    </row>
    <row r="346" spans="1:21" s="110" customFormat="1" ht="9" hidden="1" customHeight="1">
      <c r="A346" s="294">
        <v>245</v>
      </c>
      <c r="B346" s="68" t="s">
        <v>58</v>
      </c>
      <c r="C346" s="285" t="s">
        <v>997</v>
      </c>
      <c r="D346" s="285"/>
      <c r="E346" s="294">
        <v>1970</v>
      </c>
      <c r="F346" s="294"/>
      <c r="G346" s="294" t="s">
        <v>87</v>
      </c>
      <c r="H346" s="294">
        <v>4</v>
      </c>
      <c r="I346" s="294">
        <v>1</v>
      </c>
      <c r="J346" s="297">
        <v>2711.3</v>
      </c>
      <c r="K346" s="297">
        <v>1386.1</v>
      </c>
      <c r="L346" s="297">
        <v>1386.1</v>
      </c>
      <c r="M346" s="44">
        <v>212</v>
      </c>
      <c r="N346" s="297">
        <f>'Приложение 2'!E349</f>
        <v>3171266.41</v>
      </c>
      <c r="O346" s="61">
        <v>0</v>
      </c>
      <c r="P346" s="61">
        <v>0</v>
      </c>
      <c r="Q346" s="61">
        <v>0</v>
      </c>
      <c r="R346" s="297">
        <f t="shared" si="71"/>
        <v>3171266.41</v>
      </c>
      <c r="S346" s="297">
        <f t="shared" si="70"/>
        <v>2287.9059303080589</v>
      </c>
      <c r="T346" s="297">
        <v>4180</v>
      </c>
      <c r="U346" s="46" t="s">
        <v>225</v>
      </c>
    </row>
    <row r="347" spans="1:21" s="110" customFormat="1" ht="9" hidden="1" customHeight="1">
      <c r="A347" s="294">
        <v>246</v>
      </c>
      <c r="B347" s="68" t="s">
        <v>48</v>
      </c>
      <c r="C347" s="285" t="s">
        <v>997</v>
      </c>
      <c r="D347" s="285"/>
      <c r="E347" s="294">
        <v>1971</v>
      </c>
      <c r="F347" s="294"/>
      <c r="G347" s="294" t="s">
        <v>87</v>
      </c>
      <c r="H347" s="294">
        <v>5</v>
      </c>
      <c r="I347" s="294">
        <v>4</v>
      </c>
      <c r="J347" s="297">
        <v>3479.9</v>
      </c>
      <c r="K347" s="297">
        <v>3211.5</v>
      </c>
      <c r="L347" s="297">
        <v>3211.5</v>
      </c>
      <c r="M347" s="44">
        <v>127</v>
      </c>
      <c r="N347" s="297">
        <f>'Приложение 2'!E350</f>
        <v>3050452.81</v>
      </c>
      <c r="O347" s="297">
        <v>0</v>
      </c>
      <c r="P347" s="297">
        <v>0</v>
      </c>
      <c r="Q347" s="297">
        <v>0</v>
      </c>
      <c r="R347" s="297">
        <f t="shared" si="71"/>
        <v>3050452.81</v>
      </c>
      <c r="S347" s="297">
        <f t="shared" si="70"/>
        <v>949.85296901759307</v>
      </c>
      <c r="T347" s="297">
        <v>4180</v>
      </c>
      <c r="U347" s="46" t="s">
        <v>225</v>
      </c>
    </row>
    <row r="348" spans="1:21" s="110" customFormat="1" ht="9" hidden="1" customHeight="1">
      <c r="A348" s="294">
        <v>247</v>
      </c>
      <c r="B348" s="68" t="s">
        <v>55</v>
      </c>
      <c r="C348" s="285" t="s">
        <v>998</v>
      </c>
      <c r="D348" s="285"/>
      <c r="E348" s="294">
        <v>1964</v>
      </c>
      <c r="F348" s="294"/>
      <c r="G348" s="294" t="s">
        <v>87</v>
      </c>
      <c r="H348" s="294">
        <v>2</v>
      </c>
      <c r="I348" s="294">
        <v>3</v>
      </c>
      <c r="J348" s="297">
        <v>543</v>
      </c>
      <c r="K348" s="297">
        <v>480.7</v>
      </c>
      <c r="L348" s="297">
        <v>480.7</v>
      </c>
      <c r="M348" s="44">
        <v>15</v>
      </c>
      <c r="N348" s="297">
        <f>'Приложение 2'!E351</f>
        <v>1651139.81</v>
      </c>
      <c r="O348" s="297">
        <v>0</v>
      </c>
      <c r="P348" s="297">
        <v>0</v>
      </c>
      <c r="Q348" s="297">
        <v>0</v>
      </c>
      <c r="R348" s="297">
        <f t="shared" si="71"/>
        <v>1651139.81</v>
      </c>
      <c r="S348" s="297">
        <f t="shared" si="70"/>
        <v>3434.8654254212611</v>
      </c>
      <c r="T348" s="297">
        <v>4503.95</v>
      </c>
      <c r="U348" s="46" t="s">
        <v>225</v>
      </c>
    </row>
    <row r="349" spans="1:21" s="110" customFormat="1" ht="9" hidden="1" customHeight="1">
      <c r="A349" s="294">
        <v>248</v>
      </c>
      <c r="B349" s="68" t="s">
        <v>49</v>
      </c>
      <c r="C349" s="285" t="s">
        <v>998</v>
      </c>
      <c r="D349" s="285"/>
      <c r="E349" s="294">
        <v>1953</v>
      </c>
      <c r="F349" s="294"/>
      <c r="G349" s="294" t="s">
        <v>87</v>
      </c>
      <c r="H349" s="294">
        <v>2</v>
      </c>
      <c r="I349" s="294">
        <v>2</v>
      </c>
      <c r="J349" s="297">
        <v>411.73</v>
      </c>
      <c r="K349" s="297">
        <v>378.8</v>
      </c>
      <c r="L349" s="297">
        <v>378.8</v>
      </c>
      <c r="M349" s="44">
        <v>21</v>
      </c>
      <c r="N349" s="297">
        <f>'Приложение 2'!E352</f>
        <v>1238251.32</v>
      </c>
      <c r="O349" s="297">
        <v>0</v>
      </c>
      <c r="P349" s="297">
        <v>0</v>
      </c>
      <c r="Q349" s="297">
        <v>0</v>
      </c>
      <c r="R349" s="297">
        <f t="shared" si="71"/>
        <v>1238251.32</v>
      </c>
      <c r="S349" s="297">
        <f t="shared" si="70"/>
        <v>3268.8788806758184</v>
      </c>
      <c r="T349" s="297">
        <v>4503.95</v>
      </c>
      <c r="U349" s="46" t="s">
        <v>225</v>
      </c>
    </row>
    <row r="350" spans="1:21" s="110" customFormat="1" ht="9" hidden="1" customHeight="1">
      <c r="A350" s="294">
        <v>249</v>
      </c>
      <c r="B350" s="68" t="s">
        <v>50</v>
      </c>
      <c r="C350" s="285" t="s">
        <v>997</v>
      </c>
      <c r="D350" s="285"/>
      <c r="E350" s="294">
        <v>1971</v>
      </c>
      <c r="F350" s="294"/>
      <c r="G350" s="294" t="s">
        <v>89</v>
      </c>
      <c r="H350" s="294">
        <v>2</v>
      </c>
      <c r="I350" s="294">
        <v>2</v>
      </c>
      <c r="J350" s="297">
        <v>691.1</v>
      </c>
      <c r="K350" s="297">
        <v>634</v>
      </c>
      <c r="L350" s="297">
        <v>634</v>
      </c>
      <c r="M350" s="44">
        <v>25</v>
      </c>
      <c r="N350" s="297">
        <f>'Приложение 2'!E353</f>
        <v>1641356.28</v>
      </c>
      <c r="O350" s="297">
        <v>0</v>
      </c>
      <c r="P350" s="297">
        <v>0</v>
      </c>
      <c r="Q350" s="297">
        <v>0</v>
      </c>
      <c r="R350" s="297">
        <f t="shared" si="71"/>
        <v>1641356.28</v>
      </c>
      <c r="S350" s="297">
        <f t="shared" si="70"/>
        <v>2588.8900315457413</v>
      </c>
      <c r="T350" s="297">
        <v>4180</v>
      </c>
      <c r="U350" s="46" t="s">
        <v>225</v>
      </c>
    </row>
    <row r="351" spans="1:21" s="110" customFormat="1" ht="9" hidden="1" customHeight="1">
      <c r="A351" s="294">
        <v>250</v>
      </c>
      <c r="B351" s="68" t="s">
        <v>51</v>
      </c>
      <c r="C351" s="285" t="s">
        <v>997</v>
      </c>
      <c r="D351" s="285"/>
      <c r="E351" s="294">
        <v>1973</v>
      </c>
      <c r="F351" s="294"/>
      <c r="G351" s="294" t="s">
        <v>87</v>
      </c>
      <c r="H351" s="294">
        <v>5</v>
      </c>
      <c r="I351" s="294">
        <v>2</v>
      </c>
      <c r="J351" s="297">
        <v>1895.3</v>
      </c>
      <c r="K351" s="297">
        <v>1652.1</v>
      </c>
      <c r="L351" s="297">
        <v>1652.1</v>
      </c>
      <c r="M351" s="44">
        <v>87</v>
      </c>
      <c r="N351" s="297">
        <f>'Приложение 2'!E354</f>
        <v>1892023.06</v>
      </c>
      <c r="O351" s="297">
        <v>0</v>
      </c>
      <c r="P351" s="297">
        <v>0</v>
      </c>
      <c r="Q351" s="297">
        <v>0</v>
      </c>
      <c r="R351" s="297">
        <f t="shared" si="71"/>
        <v>1892023.06</v>
      </c>
      <c r="S351" s="297">
        <f t="shared" si="70"/>
        <v>1145.2230857696266</v>
      </c>
      <c r="T351" s="297">
        <v>4180</v>
      </c>
      <c r="U351" s="46" t="s">
        <v>225</v>
      </c>
    </row>
    <row r="352" spans="1:21" s="110" customFormat="1" ht="9" hidden="1" customHeight="1">
      <c r="A352" s="294">
        <v>251</v>
      </c>
      <c r="B352" s="68" t="s">
        <v>52</v>
      </c>
      <c r="C352" s="285" t="s">
        <v>997</v>
      </c>
      <c r="D352" s="285"/>
      <c r="E352" s="294">
        <v>1971</v>
      </c>
      <c r="F352" s="294"/>
      <c r="G352" s="294" t="s">
        <v>89</v>
      </c>
      <c r="H352" s="294">
        <v>5</v>
      </c>
      <c r="I352" s="294">
        <v>4</v>
      </c>
      <c r="J352" s="297">
        <v>2885.1</v>
      </c>
      <c r="K352" s="297">
        <v>2504.6</v>
      </c>
      <c r="L352" s="297">
        <v>2504.6</v>
      </c>
      <c r="M352" s="44">
        <v>104</v>
      </c>
      <c r="N352" s="297">
        <f>'Приложение 2'!E355</f>
        <v>2531240.13</v>
      </c>
      <c r="O352" s="297">
        <v>0</v>
      </c>
      <c r="P352" s="297">
        <v>0</v>
      </c>
      <c r="Q352" s="297">
        <v>0</v>
      </c>
      <c r="R352" s="297">
        <f t="shared" si="71"/>
        <v>2531240.13</v>
      </c>
      <c r="S352" s="297">
        <f t="shared" si="70"/>
        <v>1010.6364808751896</v>
      </c>
      <c r="T352" s="297">
        <v>4180</v>
      </c>
      <c r="U352" s="46" t="s">
        <v>225</v>
      </c>
    </row>
    <row r="353" spans="1:21" s="110" customFormat="1" ht="9" hidden="1" customHeight="1">
      <c r="A353" s="294">
        <v>252</v>
      </c>
      <c r="B353" s="68" t="s">
        <v>53</v>
      </c>
      <c r="C353" s="285" t="s">
        <v>997</v>
      </c>
      <c r="D353" s="285"/>
      <c r="E353" s="294">
        <v>1970</v>
      </c>
      <c r="F353" s="294"/>
      <c r="G353" s="294" t="s">
        <v>89</v>
      </c>
      <c r="H353" s="294">
        <v>5</v>
      </c>
      <c r="I353" s="294">
        <v>4</v>
      </c>
      <c r="J353" s="297">
        <v>2866.7</v>
      </c>
      <c r="K353" s="297">
        <v>2605.6</v>
      </c>
      <c r="L353" s="297">
        <v>2605.6</v>
      </c>
      <c r="M353" s="44">
        <v>111</v>
      </c>
      <c r="N353" s="297">
        <f>'Приложение 2'!E356</f>
        <v>2534340.3199999998</v>
      </c>
      <c r="O353" s="297">
        <v>0</v>
      </c>
      <c r="P353" s="297">
        <v>0</v>
      </c>
      <c r="Q353" s="297">
        <v>0</v>
      </c>
      <c r="R353" s="297">
        <f t="shared" si="71"/>
        <v>2534340.3199999998</v>
      </c>
      <c r="S353" s="297">
        <f t="shared" si="70"/>
        <v>972.65133558489401</v>
      </c>
      <c r="T353" s="297">
        <v>4180</v>
      </c>
      <c r="U353" s="46" t="s">
        <v>225</v>
      </c>
    </row>
    <row r="354" spans="1:21" s="110" customFormat="1" ht="9" hidden="1" customHeight="1">
      <c r="A354" s="294">
        <v>253</v>
      </c>
      <c r="B354" s="68" t="s">
        <v>54</v>
      </c>
      <c r="C354" s="285" t="s">
        <v>998</v>
      </c>
      <c r="D354" s="285"/>
      <c r="E354" s="294">
        <v>1964</v>
      </c>
      <c r="F354" s="294"/>
      <c r="G354" s="294" t="s">
        <v>87</v>
      </c>
      <c r="H354" s="294">
        <v>4</v>
      </c>
      <c r="I354" s="294">
        <v>2</v>
      </c>
      <c r="J354" s="297">
        <v>1354.6</v>
      </c>
      <c r="K354" s="297">
        <v>1221.2</v>
      </c>
      <c r="L354" s="297">
        <v>1221.2</v>
      </c>
      <c r="M354" s="44">
        <v>54</v>
      </c>
      <c r="N354" s="297">
        <f>'Приложение 2'!E357</f>
        <v>1590567.17</v>
      </c>
      <c r="O354" s="297">
        <v>0</v>
      </c>
      <c r="P354" s="297">
        <v>0</v>
      </c>
      <c r="Q354" s="297">
        <v>0</v>
      </c>
      <c r="R354" s="297">
        <f t="shared" si="71"/>
        <v>1590567.17</v>
      </c>
      <c r="S354" s="297">
        <f t="shared" si="70"/>
        <v>1302.4624713396659</v>
      </c>
      <c r="T354" s="297">
        <v>4503.95</v>
      </c>
      <c r="U354" s="46" t="s">
        <v>225</v>
      </c>
    </row>
    <row r="355" spans="1:21" s="110" customFormat="1" ht="9" hidden="1" customHeight="1">
      <c r="A355" s="294">
        <v>254</v>
      </c>
      <c r="B355" s="68" t="s">
        <v>57</v>
      </c>
      <c r="C355" s="285" t="s">
        <v>997</v>
      </c>
      <c r="D355" s="285"/>
      <c r="E355" s="294">
        <v>1975</v>
      </c>
      <c r="F355" s="294"/>
      <c r="G355" s="294" t="s">
        <v>87</v>
      </c>
      <c r="H355" s="294">
        <v>2</v>
      </c>
      <c r="I355" s="294">
        <v>1</v>
      </c>
      <c r="J355" s="297">
        <v>783.2</v>
      </c>
      <c r="K355" s="297">
        <v>519</v>
      </c>
      <c r="L355" s="297">
        <v>519</v>
      </c>
      <c r="M355" s="44">
        <v>55</v>
      </c>
      <c r="N355" s="297">
        <f>'Приложение 2'!E358</f>
        <v>1253453.5</v>
      </c>
      <c r="O355" s="297">
        <v>0</v>
      </c>
      <c r="P355" s="297">
        <v>0</v>
      </c>
      <c r="Q355" s="297">
        <v>0</v>
      </c>
      <c r="R355" s="297">
        <f t="shared" si="71"/>
        <v>1253453.5</v>
      </c>
      <c r="S355" s="297">
        <f t="shared" si="70"/>
        <v>2415.131984585742</v>
      </c>
      <c r="T355" s="297">
        <f>IF('Приложение 2'!J358="скатная",3605.25,4180)</f>
        <v>4180</v>
      </c>
      <c r="U355" s="46" t="s">
        <v>225</v>
      </c>
    </row>
    <row r="356" spans="1:21" s="110" customFormat="1" ht="9" hidden="1" customHeight="1">
      <c r="A356" s="294">
        <v>255</v>
      </c>
      <c r="B356" s="68" t="s">
        <v>56</v>
      </c>
      <c r="C356" s="285" t="s">
        <v>997</v>
      </c>
      <c r="D356" s="285"/>
      <c r="E356" s="294">
        <v>1979</v>
      </c>
      <c r="F356" s="294"/>
      <c r="G356" s="294" t="s">
        <v>87</v>
      </c>
      <c r="H356" s="294">
        <v>5</v>
      </c>
      <c r="I356" s="294">
        <v>1</v>
      </c>
      <c r="J356" s="297">
        <v>2181.9</v>
      </c>
      <c r="K356" s="297">
        <v>846.1</v>
      </c>
      <c r="L356" s="297">
        <v>846.1</v>
      </c>
      <c r="M356" s="44">
        <v>131</v>
      </c>
      <c r="N356" s="297">
        <f>'Приложение 2'!E359</f>
        <v>1869179.81</v>
      </c>
      <c r="O356" s="297">
        <v>0</v>
      </c>
      <c r="P356" s="297">
        <v>0</v>
      </c>
      <c r="Q356" s="297">
        <v>0</v>
      </c>
      <c r="R356" s="297">
        <f t="shared" si="71"/>
        <v>1869179.81</v>
      </c>
      <c r="S356" s="297">
        <f t="shared" si="70"/>
        <v>2209.1712681716108</v>
      </c>
      <c r="T356" s="297">
        <v>4180</v>
      </c>
      <c r="U356" s="46" t="s">
        <v>225</v>
      </c>
    </row>
    <row r="357" spans="1:21" s="110" customFormat="1" ht="23.25" hidden="1" customHeight="1">
      <c r="A357" s="503" t="s">
        <v>43</v>
      </c>
      <c r="B357" s="503"/>
      <c r="C357" s="285"/>
      <c r="D357" s="285"/>
      <c r="E357" s="54" t="s">
        <v>387</v>
      </c>
      <c r="F357" s="54" t="s">
        <v>387</v>
      </c>
      <c r="G357" s="54" t="s">
        <v>387</v>
      </c>
      <c r="H357" s="54" t="s">
        <v>387</v>
      </c>
      <c r="I357" s="54" t="s">
        <v>387</v>
      </c>
      <c r="J357" s="297">
        <f t="shared" ref="J357:Q357" si="72">SUM(J343:J356)</f>
        <v>21712.73</v>
      </c>
      <c r="K357" s="297">
        <f t="shared" si="72"/>
        <v>17169.900000000001</v>
      </c>
      <c r="L357" s="297">
        <f t="shared" si="72"/>
        <v>17103</v>
      </c>
      <c r="M357" s="44">
        <f t="shared" si="72"/>
        <v>1011</v>
      </c>
      <c r="N357" s="297">
        <f t="shared" si="72"/>
        <v>27434756.550000001</v>
      </c>
      <c r="O357" s="297">
        <f t="shared" si="72"/>
        <v>0</v>
      </c>
      <c r="P357" s="297">
        <f t="shared" si="72"/>
        <v>0</v>
      </c>
      <c r="Q357" s="297">
        <f t="shared" si="72"/>
        <v>0</v>
      </c>
      <c r="R357" s="297">
        <f t="shared" si="71"/>
        <v>27434756.550000001</v>
      </c>
      <c r="S357" s="297">
        <f>N357/K357</f>
        <v>1597.8402058253105</v>
      </c>
      <c r="T357" s="297"/>
      <c r="U357" s="46"/>
    </row>
    <row r="358" spans="1:21" ht="24" customHeight="1">
      <c r="A358" s="538" t="s">
        <v>38</v>
      </c>
      <c r="B358" s="538"/>
      <c r="E358" s="452" t="s">
        <v>1164</v>
      </c>
      <c r="F358" s="452" t="s">
        <v>1164</v>
      </c>
      <c r="G358" s="452" t="s">
        <v>1164</v>
      </c>
      <c r="H358" s="452" t="s">
        <v>1164</v>
      </c>
      <c r="I358" s="452" t="s">
        <v>1164</v>
      </c>
      <c r="J358" s="451">
        <f>J339+J340</f>
        <v>2114.48</v>
      </c>
      <c r="K358" s="451">
        <f>K339+K340</f>
        <v>1931.49</v>
      </c>
      <c r="L358" s="451">
        <f>L339+L340</f>
        <v>1887.98</v>
      </c>
      <c r="M358" s="44">
        <f>M339+M340</f>
        <v>79</v>
      </c>
      <c r="N358" s="451">
        <f>N339+N340</f>
        <v>4074185.05</v>
      </c>
      <c r="O358" s="451">
        <v>0</v>
      </c>
      <c r="P358" s="451">
        <v>0</v>
      </c>
      <c r="Q358" s="451">
        <v>0</v>
      </c>
      <c r="R358" s="451">
        <f>R339+R340</f>
        <v>4074185.05</v>
      </c>
      <c r="S358" s="451" t="s">
        <v>1164</v>
      </c>
      <c r="T358" s="451" t="s">
        <v>1164</v>
      </c>
      <c r="U358" s="46" t="s">
        <v>1164</v>
      </c>
    </row>
    <row r="359" spans="1:21" ht="27.75" customHeight="1">
      <c r="E359" s="299"/>
      <c r="F359" s="299"/>
      <c r="G359" s="299"/>
      <c r="H359" s="299"/>
      <c r="I359" s="299"/>
    </row>
  </sheetData>
  <sheetProtection selectLockedCells="1" selectUnlockedCells="1"/>
  <autoFilter ref="A11:V357">
    <filterColumn colId="1">
      <filters>
        <filter val="пгт Белая Березка, ул Калинина, д. 6"/>
        <filter val="пгт Белая Березка, ул Партизанская, д. 6"/>
      </filters>
    </filterColumn>
  </autoFilter>
  <mergeCells count="116">
    <mergeCell ref="A358:B358"/>
    <mergeCell ref="A239:B239"/>
    <mergeCell ref="A240:U240"/>
    <mergeCell ref="A243:U243"/>
    <mergeCell ref="A222:B222"/>
    <mergeCell ref="A209:B209"/>
    <mergeCell ref="A182:B182"/>
    <mergeCell ref="A199:B199"/>
    <mergeCell ref="A174:U174"/>
    <mergeCell ref="A219:B219"/>
    <mergeCell ref="A236:U236"/>
    <mergeCell ref="A223:U223"/>
    <mergeCell ref="A206:B206"/>
    <mergeCell ref="A207:U207"/>
    <mergeCell ref="A220:U220"/>
    <mergeCell ref="A217:U217"/>
    <mergeCell ref="A216:B216"/>
    <mergeCell ref="A204:U204"/>
    <mergeCell ref="A179:B179"/>
    <mergeCell ref="A180:U180"/>
    <mergeCell ref="A183:U183"/>
    <mergeCell ref="A214:U214"/>
    <mergeCell ref="A235:B235"/>
    <mergeCell ref="A203:B203"/>
    <mergeCell ref="A210:U210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M7:M9"/>
    <mergeCell ref="H7:H10"/>
    <mergeCell ref="L8:L9"/>
    <mergeCell ref="J7:J9"/>
    <mergeCell ref="I7:I10"/>
    <mergeCell ref="U7:U10"/>
    <mergeCell ref="E7:F7"/>
    <mergeCell ref="R3:U3"/>
    <mergeCell ref="N4:U4"/>
    <mergeCell ref="A162:U162"/>
    <mergeCell ref="A161:B161"/>
    <mergeCell ref="A157:U157"/>
    <mergeCell ref="A131:B131"/>
    <mergeCell ref="A12:B12"/>
    <mergeCell ref="A156:B156"/>
    <mergeCell ref="A170:U170"/>
    <mergeCell ref="A15:U15"/>
    <mergeCell ref="A143:B143"/>
    <mergeCell ref="A132:U132"/>
    <mergeCell ref="A144:U144"/>
    <mergeCell ref="A169:B169"/>
    <mergeCell ref="A13:U13"/>
    <mergeCell ref="A213:B213"/>
    <mergeCell ref="A14:B14"/>
    <mergeCell ref="A173:B173"/>
    <mergeCell ref="A200:U200"/>
    <mergeCell ref="A242:B242"/>
    <mergeCell ref="A342:U342"/>
    <mergeCell ref="A289:U289"/>
    <mergeCell ref="A317:U317"/>
    <mergeCell ref="A332:B332"/>
    <mergeCell ref="A292:B292"/>
    <mergeCell ref="A293:U293"/>
    <mergeCell ref="A299:U299"/>
    <mergeCell ref="A268:B268"/>
    <mergeCell ref="A265:U265"/>
    <mergeCell ref="A264:B264"/>
    <mergeCell ref="A254:U254"/>
    <mergeCell ref="A256:B256"/>
    <mergeCell ref="A246:U246"/>
    <mergeCell ref="A257:U257"/>
    <mergeCell ref="A253:B253"/>
    <mergeCell ref="A269:U269"/>
    <mergeCell ref="A274:B274"/>
    <mergeCell ref="A245:B245"/>
    <mergeCell ref="A249:B249"/>
    <mergeCell ref="A250:U250"/>
    <mergeCell ref="A282:U282"/>
    <mergeCell ref="A275:U275"/>
    <mergeCell ref="A278:B278"/>
    <mergeCell ref="A281:B281"/>
    <mergeCell ref="A279:U279"/>
    <mergeCell ref="A303:U303"/>
    <mergeCell ref="A306:B306"/>
    <mergeCell ref="A307:U307"/>
    <mergeCell ref="A312:B312"/>
    <mergeCell ref="A285:B285"/>
    <mergeCell ref="A288:B288"/>
    <mergeCell ref="A286:U286"/>
    <mergeCell ref="A302:B302"/>
    <mergeCell ref="A295:B295"/>
    <mergeCell ref="A296:U296"/>
    <mergeCell ref="A298:B298"/>
    <mergeCell ref="A313:U313"/>
    <mergeCell ref="A316:B316"/>
    <mergeCell ref="A319:B319"/>
    <mergeCell ref="A333:U333"/>
    <mergeCell ref="A341:B341"/>
    <mergeCell ref="A338:U338"/>
    <mergeCell ref="A357:B357"/>
    <mergeCell ref="A337:B337"/>
    <mergeCell ref="A327:U327"/>
    <mergeCell ref="A322:B322"/>
    <mergeCell ref="A320:U320"/>
    <mergeCell ref="A323:U323"/>
    <mergeCell ref="A326:B326"/>
  </mergeCells>
  <phoneticPr fontId="2" type="noConversion"/>
  <pageMargins left="0.74803149606299213" right="0.19685039370078741" top="1.1023622047244095" bottom="0.43307086614173229" header="1.1023622047244095" footer="0.19685039370078741"/>
  <pageSetup paperSize="9" scale="86" orientation="landscape" r:id="rId1"/>
  <headerFooter alignWithMargins="0">
    <oddFooter>&amp;C&amp;"Arial Narrow,обычный"&amp;7&amp;P</oddFooter>
  </headerFooter>
  <ignoredErrors>
    <ignoredError sqref="E153 H153:I153 I138 I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filterMode="1">
    <pageSetUpPr fitToPage="1"/>
  </sheetPr>
  <dimension ref="A1:W360"/>
  <sheetViews>
    <sheetView view="pageBreakPreview" topLeftCell="A7" zoomScale="93" zoomScaleNormal="170" zoomScaleSheetLayoutView="93" workbookViewId="0">
      <selection activeCell="A360" sqref="A360:B360"/>
    </sheetView>
  </sheetViews>
  <sheetFormatPr defaultRowHeight="12.75"/>
  <cols>
    <col min="1" max="1" width="5.33203125" style="9" customWidth="1"/>
    <col min="2" max="2" width="38.33203125" style="9" customWidth="1"/>
    <col min="3" max="3" width="14.6640625" style="29" hidden="1" customWidth="1"/>
    <col min="4" max="4" width="13.5" style="29" hidden="1" customWidth="1"/>
    <col min="5" max="5" width="14.1640625" style="7" customWidth="1"/>
    <col min="6" max="6" width="13.33203125" style="7" customWidth="1"/>
    <col min="7" max="7" width="4.33203125" style="21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4.3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5.6640625" style="10" customWidth="1"/>
    <col min="18" max="18" width="6.5" style="10" customWidth="1"/>
    <col min="19" max="19" width="7" style="10" customWidth="1"/>
    <col min="20" max="20" width="9" style="10" customWidth="1"/>
    <col min="21" max="21" width="9.83203125" style="10" customWidth="1"/>
    <col min="22" max="22" width="4.83203125" style="10" customWidth="1"/>
    <col min="23" max="23" width="15.5" style="9" bestFit="1" customWidth="1"/>
    <col min="24" max="24" width="14" style="9" customWidth="1"/>
    <col min="25" max="16384" width="9.33203125" style="9"/>
  </cols>
  <sheetData>
    <row r="1" spans="1:23" ht="11.25" hidden="1" customHeight="1">
      <c r="E1" s="10"/>
      <c r="F1" s="10"/>
      <c r="L1" s="11"/>
      <c r="M1" s="567" t="s">
        <v>106</v>
      </c>
      <c r="N1" s="567"/>
      <c r="O1" s="567"/>
      <c r="P1" s="567"/>
      <c r="Q1" s="567"/>
      <c r="R1" s="567"/>
      <c r="S1" s="567"/>
      <c r="T1" s="567"/>
      <c r="U1" s="567"/>
      <c r="V1" s="567"/>
    </row>
    <row r="2" spans="1:23" ht="6" hidden="1" customHeight="1">
      <c r="E2" s="10"/>
      <c r="F2" s="10"/>
      <c r="L2" s="12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3" ht="47.25" hidden="1" customHeight="1">
      <c r="E3" s="10"/>
      <c r="F3" s="10"/>
      <c r="L3" s="12"/>
      <c r="M3" s="5"/>
      <c r="N3" s="5"/>
      <c r="O3" s="569" t="s">
        <v>459</v>
      </c>
      <c r="P3" s="569"/>
      <c r="Q3" s="569"/>
      <c r="R3" s="569"/>
      <c r="S3" s="569"/>
      <c r="T3" s="569"/>
      <c r="U3" s="569"/>
      <c r="V3" s="569"/>
    </row>
    <row r="4" spans="1:23" ht="2.25" hidden="1" customHeight="1">
      <c r="E4" s="10"/>
      <c r="F4" s="10"/>
      <c r="L4" s="12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3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3" ht="24.75" hidden="1" customHeight="1">
      <c r="A6" s="564" t="s">
        <v>63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</row>
    <row r="7" spans="1:23" ht="45.75" customHeight="1">
      <c r="A7" s="453"/>
      <c r="B7" s="453"/>
      <c r="C7" s="354"/>
      <c r="D7" s="354"/>
      <c r="E7" s="454"/>
      <c r="F7" s="453"/>
      <c r="G7" s="453"/>
      <c r="H7" s="453"/>
      <c r="I7" s="453"/>
      <c r="J7" s="354"/>
      <c r="K7" s="354"/>
      <c r="L7" s="453"/>
      <c r="M7" s="453"/>
      <c r="N7" s="453"/>
      <c r="O7" s="453"/>
      <c r="P7" s="453"/>
      <c r="Q7" s="453"/>
      <c r="R7" s="453"/>
      <c r="S7" s="556" t="s">
        <v>1163</v>
      </c>
      <c r="T7" s="556"/>
      <c r="U7" s="556"/>
      <c r="V7" s="556"/>
    </row>
    <row r="8" spans="1:23" ht="121.5" customHeight="1">
      <c r="A8" s="453"/>
      <c r="B8" s="453"/>
      <c r="C8" s="354"/>
      <c r="D8" s="354"/>
      <c r="E8" s="454"/>
      <c r="F8" s="453"/>
      <c r="G8" s="455"/>
      <c r="H8" s="453"/>
      <c r="I8" s="453"/>
      <c r="J8" s="354"/>
      <c r="K8" s="354"/>
      <c r="L8" s="453"/>
      <c r="M8" s="556" t="s">
        <v>1165</v>
      </c>
      <c r="N8" s="556"/>
      <c r="O8" s="556"/>
      <c r="P8" s="556"/>
      <c r="Q8" s="556"/>
      <c r="R8" s="556"/>
      <c r="S8" s="556"/>
      <c r="T8" s="556"/>
      <c r="U8" s="556"/>
      <c r="V8" s="556"/>
    </row>
    <row r="9" spans="1:23" ht="34.5" customHeight="1">
      <c r="A9" s="554" t="s">
        <v>1158</v>
      </c>
      <c r="B9" s="554"/>
      <c r="C9" s="555"/>
      <c r="D9" s="555"/>
      <c r="E9" s="554"/>
      <c r="F9" s="554"/>
      <c r="G9" s="554"/>
      <c r="H9" s="554"/>
      <c r="I9" s="554"/>
      <c r="J9" s="555"/>
      <c r="K9" s="555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</row>
    <row r="10" spans="1:23" ht="21" customHeight="1">
      <c r="A10" s="568" t="s">
        <v>457</v>
      </c>
      <c r="B10" s="568" t="s">
        <v>65</v>
      </c>
      <c r="C10" s="355"/>
      <c r="D10" s="356"/>
      <c r="E10" s="573" t="s">
        <v>90</v>
      </c>
      <c r="F10" s="568" t="s">
        <v>460</v>
      </c>
      <c r="G10" s="568"/>
      <c r="H10" s="568"/>
      <c r="I10" s="568"/>
      <c r="J10" s="557"/>
      <c r="K10" s="557"/>
      <c r="L10" s="568"/>
      <c r="M10" s="568"/>
      <c r="N10" s="568"/>
      <c r="O10" s="568"/>
      <c r="P10" s="568"/>
      <c r="Q10" s="568"/>
      <c r="R10" s="568"/>
      <c r="S10" s="568" t="s">
        <v>91</v>
      </c>
      <c r="T10" s="568"/>
      <c r="U10" s="568"/>
      <c r="V10" s="568"/>
    </row>
    <row r="11" spans="1:23" ht="78" customHeight="1">
      <c r="A11" s="568"/>
      <c r="B11" s="568"/>
      <c r="C11" s="355"/>
      <c r="D11" s="356"/>
      <c r="E11" s="573"/>
      <c r="F11" s="457" t="s">
        <v>92</v>
      </c>
      <c r="G11" s="568" t="s">
        <v>93</v>
      </c>
      <c r="H11" s="568"/>
      <c r="I11" s="568" t="s">
        <v>94</v>
      </c>
      <c r="J11" s="557"/>
      <c r="K11" s="557"/>
      <c r="L11" s="568"/>
      <c r="M11" s="568" t="s">
        <v>95</v>
      </c>
      <c r="N11" s="568"/>
      <c r="O11" s="568" t="s">
        <v>96</v>
      </c>
      <c r="P11" s="568"/>
      <c r="Q11" s="568" t="s">
        <v>97</v>
      </c>
      <c r="R11" s="568"/>
      <c r="S11" s="459" t="s">
        <v>59</v>
      </c>
      <c r="T11" s="459" t="s">
        <v>60</v>
      </c>
      <c r="U11" s="456" t="s">
        <v>61</v>
      </c>
      <c r="V11" s="456" t="s">
        <v>62</v>
      </c>
    </row>
    <row r="12" spans="1:23" ht="15" customHeight="1">
      <c r="A12" s="568"/>
      <c r="B12" s="568"/>
      <c r="C12" s="355"/>
      <c r="D12" s="356"/>
      <c r="E12" s="457" t="s">
        <v>373</v>
      </c>
      <c r="F12" s="457" t="s">
        <v>70</v>
      </c>
      <c r="G12" s="458" t="s">
        <v>98</v>
      </c>
      <c r="H12" s="456" t="s">
        <v>70</v>
      </c>
      <c r="I12" s="457" t="s">
        <v>461</v>
      </c>
      <c r="J12" s="357"/>
      <c r="K12" s="357"/>
      <c r="L12" s="457" t="s">
        <v>70</v>
      </c>
      <c r="M12" s="456" t="s">
        <v>461</v>
      </c>
      <c r="N12" s="456" t="s">
        <v>70</v>
      </c>
      <c r="O12" s="456" t="s">
        <v>461</v>
      </c>
      <c r="P12" s="456" t="s">
        <v>70</v>
      </c>
      <c r="Q12" s="456" t="s">
        <v>462</v>
      </c>
      <c r="R12" s="456" t="s">
        <v>70</v>
      </c>
      <c r="S12" s="456" t="s">
        <v>70</v>
      </c>
      <c r="T12" s="456" t="s">
        <v>70</v>
      </c>
      <c r="U12" s="456" t="s">
        <v>70</v>
      </c>
      <c r="V12" s="456" t="s">
        <v>70</v>
      </c>
      <c r="W12" s="22"/>
    </row>
    <row r="13" spans="1:23" ht="16.5" customHeight="1">
      <c r="A13" s="456" t="s">
        <v>71</v>
      </c>
      <c r="B13" s="456" t="s">
        <v>72</v>
      </c>
      <c r="C13" s="355"/>
      <c r="D13" s="356"/>
      <c r="E13" s="456" t="s">
        <v>73</v>
      </c>
      <c r="F13" s="457" t="s">
        <v>74</v>
      </c>
      <c r="G13" s="458" t="s">
        <v>75</v>
      </c>
      <c r="H13" s="456" t="s">
        <v>76</v>
      </c>
      <c r="I13" s="457" t="s">
        <v>77</v>
      </c>
      <c r="J13" s="357"/>
      <c r="K13" s="357"/>
      <c r="L13" s="457" t="s">
        <v>78</v>
      </c>
      <c r="M13" s="456" t="s">
        <v>79</v>
      </c>
      <c r="N13" s="456" t="s">
        <v>80</v>
      </c>
      <c r="O13" s="456" t="s">
        <v>81</v>
      </c>
      <c r="P13" s="456" t="s">
        <v>82</v>
      </c>
      <c r="Q13" s="456" t="s">
        <v>83</v>
      </c>
      <c r="R13" s="456" t="s">
        <v>84</v>
      </c>
      <c r="S13" s="456" t="s">
        <v>85</v>
      </c>
      <c r="T13" s="456" t="s">
        <v>86</v>
      </c>
      <c r="U13" s="456">
        <v>17</v>
      </c>
      <c r="V13" s="456">
        <v>18</v>
      </c>
    </row>
    <row r="14" spans="1:23" ht="12" hidden="1" customHeight="1">
      <c r="A14" s="552" t="s">
        <v>1014</v>
      </c>
      <c r="B14" s="553"/>
      <c r="C14" s="355"/>
      <c r="D14" s="355"/>
      <c r="E14" s="357">
        <f>E16+'Приложение 2 КСП 2018-2019 гг'!G12</f>
        <v>2177744077.4899998</v>
      </c>
      <c r="F14" s="357" t="s">
        <v>387</v>
      </c>
      <c r="G14" s="360">
        <f>G16+'Приложение 2 КСП 2018-2019 гг'!T12</f>
        <v>27</v>
      </c>
      <c r="H14" s="357" t="s">
        <v>387</v>
      </c>
      <c r="I14" s="357">
        <f>I16+'Приложение 2 КСП 2018-2019 гг'!W12</f>
        <v>585822.81999999995</v>
      </c>
      <c r="J14" s="357" t="e">
        <f>J16+#REF!+#REF!</f>
        <v>#VALUE!</v>
      </c>
      <c r="K14" s="357" t="e">
        <f>K16+#REF!+#REF!</f>
        <v>#REF!</v>
      </c>
      <c r="L14" s="357" t="s">
        <v>387</v>
      </c>
      <c r="M14" s="357">
        <f>M16+'Приложение 2 КСП 2018-2019 гг'!Y12</f>
        <v>1502.1</v>
      </c>
      <c r="N14" s="357" t="s">
        <v>387</v>
      </c>
      <c r="O14" s="357">
        <f>O16+'Приложение 2 КСП 2018-2019 гг'!AA12</f>
        <v>30267.82</v>
      </c>
      <c r="P14" s="357" t="s">
        <v>387</v>
      </c>
      <c r="Q14" s="357">
        <f>Q16+'Приложение 2 КСП 2018-2019 гг'!AC12</f>
        <v>0</v>
      </c>
      <c r="R14" s="357" t="s">
        <v>387</v>
      </c>
      <c r="S14" s="357" t="s">
        <v>387</v>
      </c>
      <c r="T14" s="357" t="s">
        <v>387</v>
      </c>
      <c r="U14" s="357" t="s">
        <v>387</v>
      </c>
      <c r="V14" s="357" t="s">
        <v>387</v>
      </c>
      <c r="W14" s="22"/>
    </row>
    <row r="15" spans="1:23" ht="9.75" hidden="1" customHeight="1">
      <c r="A15" s="557" t="s">
        <v>1020</v>
      </c>
      <c r="B15" s="557"/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22"/>
    </row>
    <row r="16" spans="1:23" ht="12" hidden="1" customHeight="1">
      <c r="A16" s="559" t="s">
        <v>1015</v>
      </c>
      <c r="B16" s="559"/>
      <c r="C16" s="357"/>
      <c r="D16" s="355"/>
      <c r="E16" s="357">
        <f>E18+E135+E147+E160+E165+E173+E177+E183+E186+E203+E207+E210+E213+E217+E220+E223+E226+E239+E243+E246+E249+E253+E257+E260+E268+E272+E278+E282+E285+E289+E292+E296+E299+E302+E306+E310+E316+E320+E323+E326+E330+E336+E341+E345</f>
        <v>582959226.02999973</v>
      </c>
      <c r="F16" s="357">
        <f t="shared" ref="F16:V16" si="0">F18+F135+F147+F160+F165+F173+F177+F183+F186+F203+F207+F210+F213+F217+F220+F223+F226+F239+F243+F246+F249+F253+F257+F260+F268+F272+F278+F282+F285+F289+F292+F296+F299+F302+F306+F310+F316+F320+F323+F326+F330+F336+F341+F345</f>
        <v>49455297.399999999</v>
      </c>
      <c r="G16" s="359">
        <f t="shared" si="0"/>
        <v>1</v>
      </c>
      <c r="H16" s="357">
        <f t="shared" si="0"/>
        <v>2909823.25</v>
      </c>
      <c r="I16" s="357">
        <f t="shared" si="0"/>
        <v>162760.26999999996</v>
      </c>
      <c r="J16" s="357" t="e">
        <f t="shared" si="0"/>
        <v>#VALUE!</v>
      </c>
      <c r="K16" s="357">
        <f t="shared" si="0"/>
        <v>26135548.800000042</v>
      </c>
      <c r="L16" s="357">
        <f t="shared" si="0"/>
        <v>498832275.02999997</v>
      </c>
      <c r="M16" s="357">
        <f t="shared" si="0"/>
        <v>990.1</v>
      </c>
      <c r="N16" s="357">
        <f t="shared" si="0"/>
        <v>755106</v>
      </c>
      <c r="O16" s="357">
        <f t="shared" si="0"/>
        <v>20028.599999999999</v>
      </c>
      <c r="P16" s="357">
        <f t="shared" si="0"/>
        <v>24397302.079999998</v>
      </c>
      <c r="Q16" s="357">
        <f t="shared" si="0"/>
        <v>0</v>
      </c>
      <c r="R16" s="357">
        <f t="shared" si="0"/>
        <v>0</v>
      </c>
      <c r="S16" s="357">
        <f t="shared" si="0"/>
        <v>570000</v>
      </c>
      <c r="T16" s="357">
        <f t="shared" si="0"/>
        <v>3606258</v>
      </c>
      <c r="U16" s="357">
        <f t="shared" si="0"/>
        <v>2433164.27</v>
      </c>
      <c r="V16" s="357">
        <f t="shared" si="0"/>
        <v>0</v>
      </c>
      <c r="W16" s="22"/>
    </row>
    <row r="17" spans="1:22" ht="10.5" hidden="1" customHeight="1">
      <c r="A17" s="550" t="s">
        <v>215</v>
      </c>
      <c r="B17" s="550"/>
      <c r="C17" s="550"/>
      <c r="D17" s="550"/>
      <c r="E17" s="550"/>
      <c r="F17" s="550"/>
      <c r="G17" s="550"/>
      <c r="H17" s="550"/>
      <c r="I17" s="550"/>
      <c r="J17" s="550"/>
      <c r="K17" s="550"/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</row>
    <row r="18" spans="1:22" ht="21" hidden="1" customHeight="1">
      <c r="A18" s="559" t="s">
        <v>107</v>
      </c>
      <c r="B18" s="559"/>
      <c r="C18" s="355"/>
      <c r="D18" s="355"/>
      <c r="E18" s="357">
        <f>SUM(E19:E133)</f>
        <v>318504274.63999999</v>
      </c>
      <c r="F18" s="357">
        <f t="shared" ref="F18:V18" si="1">SUM(F19:F133)</f>
        <v>39126835.82</v>
      </c>
      <c r="G18" s="360">
        <f t="shared" si="1"/>
        <v>1</v>
      </c>
      <c r="H18" s="357">
        <f t="shared" si="1"/>
        <v>2909823.25</v>
      </c>
      <c r="I18" s="357">
        <f t="shared" si="1"/>
        <v>83626.50999999998</v>
      </c>
      <c r="J18" s="357">
        <f t="shared" si="1"/>
        <v>33135967.699999999</v>
      </c>
      <c r="K18" s="357">
        <f t="shared" si="1"/>
        <v>25951263.130000032</v>
      </c>
      <c r="L18" s="357">
        <f t="shared" si="1"/>
        <v>251946360.11999995</v>
      </c>
      <c r="M18" s="357">
        <f t="shared" si="1"/>
        <v>0</v>
      </c>
      <c r="N18" s="357">
        <f t="shared" si="1"/>
        <v>0</v>
      </c>
      <c r="O18" s="357">
        <f t="shared" si="1"/>
        <v>17426.599999999999</v>
      </c>
      <c r="P18" s="357">
        <f t="shared" si="1"/>
        <v>22070191.41</v>
      </c>
      <c r="Q18" s="357">
        <f t="shared" si="1"/>
        <v>0</v>
      </c>
      <c r="R18" s="357">
        <f t="shared" si="1"/>
        <v>0</v>
      </c>
      <c r="S18" s="357">
        <f t="shared" si="1"/>
        <v>570000</v>
      </c>
      <c r="T18" s="357">
        <f t="shared" si="1"/>
        <v>0</v>
      </c>
      <c r="U18" s="357">
        <f t="shared" si="1"/>
        <v>1881064.04</v>
      </c>
      <c r="V18" s="357">
        <f t="shared" si="1"/>
        <v>0</v>
      </c>
    </row>
    <row r="19" spans="1:22" ht="9" hidden="1" customHeight="1">
      <c r="A19" s="358">
        <v>1</v>
      </c>
      <c r="B19" s="361" t="s">
        <v>110</v>
      </c>
      <c r="C19" s="361" t="s">
        <v>997</v>
      </c>
      <c r="D19" s="361"/>
      <c r="E19" s="357">
        <f>F19+H19+L19+N19+P19+R19+S19+T19+U19+V19</f>
        <v>2179864.48</v>
      </c>
      <c r="F19" s="357">
        <v>0</v>
      </c>
      <c r="G19" s="359">
        <v>0</v>
      </c>
      <c r="H19" s="357">
        <v>0</v>
      </c>
      <c r="I19" s="362">
        <v>911.34</v>
      </c>
      <c r="J19" s="356" t="s">
        <v>108</v>
      </c>
      <c r="K19" s="358">
        <f>IF(J19="плоская",2022.07,3438.05)</f>
        <v>2022.07</v>
      </c>
      <c r="L19" s="357">
        <v>2179864.48</v>
      </c>
      <c r="M19" s="357">
        <v>0</v>
      </c>
      <c r="N19" s="357">
        <v>0</v>
      </c>
      <c r="O19" s="357">
        <v>0</v>
      </c>
      <c r="P19" s="357">
        <v>0</v>
      </c>
      <c r="Q19" s="357">
        <v>0</v>
      </c>
      <c r="R19" s="357">
        <v>0</v>
      </c>
      <c r="S19" s="357">
        <v>0</v>
      </c>
      <c r="T19" s="357">
        <v>0</v>
      </c>
      <c r="U19" s="357">
        <v>0</v>
      </c>
      <c r="V19" s="357">
        <v>0</v>
      </c>
    </row>
    <row r="20" spans="1:22" ht="9" hidden="1" customHeight="1">
      <c r="A20" s="358">
        <v>2</v>
      </c>
      <c r="B20" s="361" t="s">
        <v>111</v>
      </c>
      <c r="C20" s="361" t="s">
        <v>997</v>
      </c>
      <c r="D20" s="361"/>
      <c r="E20" s="357">
        <f t="shared" ref="E20:E67" si="2">F20+H20+L20+N20+P20+R20+S20+T20+U20+V20</f>
        <v>1698892.44</v>
      </c>
      <c r="F20" s="357">
        <v>0</v>
      </c>
      <c r="G20" s="359">
        <v>0</v>
      </c>
      <c r="H20" s="357">
        <v>0</v>
      </c>
      <c r="I20" s="362">
        <v>675.65</v>
      </c>
      <c r="J20" s="356" t="s">
        <v>108</v>
      </c>
      <c r="K20" s="358">
        <f t="shared" ref="K20:K60" si="3">IF(J20="плоская",2022.07,3438.05)</f>
        <v>2022.07</v>
      </c>
      <c r="L20" s="357">
        <v>1698892.44</v>
      </c>
      <c r="M20" s="357">
        <v>0</v>
      </c>
      <c r="N20" s="357">
        <v>0</v>
      </c>
      <c r="O20" s="357">
        <v>0</v>
      </c>
      <c r="P20" s="357">
        <v>0</v>
      </c>
      <c r="Q20" s="357">
        <v>0</v>
      </c>
      <c r="R20" s="357">
        <v>0</v>
      </c>
      <c r="S20" s="357">
        <v>0</v>
      </c>
      <c r="T20" s="357">
        <v>0</v>
      </c>
      <c r="U20" s="357">
        <v>0</v>
      </c>
      <c r="V20" s="357">
        <v>0</v>
      </c>
    </row>
    <row r="21" spans="1:22" ht="9" hidden="1" customHeight="1">
      <c r="A21" s="358">
        <v>3</v>
      </c>
      <c r="B21" s="361" t="s">
        <v>112</v>
      </c>
      <c r="C21" s="361" t="s">
        <v>998</v>
      </c>
      <c r="D21" s="361"/>
      <c r="E21" s="357">
        <f t="shared" si="2"/>
        <v>10834027.82</v>
      </c>
      <c r="F21" s="357">
        <v>0</v>
      </c>
      <c r="G21" s="359">
        <v>0</v>
      </c>
      <c r="H21" s="357">
        <v>0</v>
      </c>
      <c r="I21" s="362">
        <v>3870</v>
      </c>
      <c r="J21" s="356" t="s">
        <v>109</v>
      </c>
      <c r="K21" s="358">
        <f t="shared" si="3"/>
        <v>3438.05</v>
      </c>
      <c r="L21" s="357">
        <v>10834027.82</v>
      </c>
      <c r="M21" s="357">
        <v>0</v>
      </c>
      <c r="N21" s="357">
        <v>0</v>
      </c>
      <c r="O21" s="357">
        <v>0</v>
      </c>
      <c r="P21" s="357">
        <v>0</v>
      </c>
      <c r="Q21" s="357">
        <v>0</v>
      </c>
      <c r="R21" s="357">
        <v>0</v>
      </c>
      <c r="S21" s="357">
        <v>0</v>
      </c>
      <c r="T21" s="357">
        <v>0</v>
      </c>
      <c r="U21" s="357">
        <v>0</v>
      </c>
      <c r="V21" s="357">
        <v>0</v>
      </c>
    </row>
    <row r="22" spans="1:22" ht="10.5" hidden="1" customHeight="1">
      <c r="A22" s="358">
        <v>4</v>
      </c>
      <c r="B22" s="361" t="s">
        <v>113</v>
      </c>
      <c r="C22" s="361" t="s">
        <v>997</v>
      </c>
      <c r="D22" s="361"/>
      <c r="E22" s="357">
        <f t="shared" si="2"/>
        <v>2274921.98</v>
      </c>
      <c r="F22" s="357">
        <v>0</v>
      </c>
      <c r="G22" s="359">
        <v>0</v>
      </c>
      <c r="H22" s="357">
        <v>0</v>
      </c>
      <c r="I22" s="362">
        <v>980</v>
      </c>
      <c r="J22" s="363" t="s">
        <v>108</v>
      </c>
      <c r="K22" s="358">
        <f t="shared" si="3"/>
        <v>2022.07</v>
      </c>
      <c r="L22" s="357">
        <v>2274921.98</v>
      </c>
      <c r="M22" s="357">
        <v>0</v>
      </c>
      <c r="N22" s="357">
        <v>0</v>
      </c>
      <c r="O22" s="357">
        <v>0</v>
      </c>
      <c r="P22" s="357">
        <v>0</v>
      </c>
      <c r="Q22" s="357">
        <v>0</v>
      </c>
      <c r="R22" s="357">
        <v>0</v>
      </c>
      <c r="S22" s="357">
        <v>0</v>
      </c>
      <c r="T22" s="357">
        <v>0</v>
      </c>
      <c r="U22" s="357">
        <v>0</v>
      </c>
      <c r="V22" s="357">
        <v>0</v>
      </c>
    </row>
    <row r="23" spans="1:22" ht="9" hidden="1" customHeight="1">
      <c r="A23" s="358">
        <v>5</v>
      </c>
      <c r="B23" s="361" t="s">
        <v>114</v>
      </c>
      <c r="C23" s="361" t="s">
        <v>998</v>
      </c>
      <c r="D23" s="361"/>
      <c r="E23" s="357">
        <f t="shared" si="2"/>
        <v>1581030.27</v>
      </c>
      <c r="F23" s="357">
        <v>0</v>
      </c>
      <c r="G23" s="359">
        <v>0</v>
      </c>
      <c r="H23" s="357">
        <v>0</v>
      </c>
      <c r="I23" s="362">
        <v>512</v>
      </c>
      <c r="J23" s="356" t="s">
        <v>109</v>
      </c>
      <c r="K23" s="358">
        <f t="shared" si="3"/>
        <v>3438.05</v>
      </c>
      <c r="L23" s="357">
        <v>1581030.27</v>
      </c>
      <c r="M23" s="357">
        <v>0</v>
      </c>
      <c r="N23" s="357">
        <v>0</v>
      </c>
      <c r="O23" s="357">
        <v>0</v>
      </c>
      <c r="P23" s="357">
        <v>0</v>
      </c>
      <c r="Q23" s="357">
        <v>0</v>
      </c>
      <c r="R23" s="357">
        <v>0</v>
      </c>
      <c r="S23" s="357">
        <v>0</v>
      </c>
      <c r="T23" s="357">
        <v>0</v>
      </c>
      <c r="U23" s="357">
        <v>0</v>
      </c>
      <c r="V23" s="357">
        <v>0</v>
      </c>
    </row>
    <row r="24" spans="1:22" ht="9" hidden="1" customHeight="1">
      <c r="A24" s="358">
        <v>6</v>
      </c>
      <c r="B24" s="361" t="s">
        <v>115</v>
      </c>
      <c r="C24" s="361" t="s">
        <v>997</v>
      </c>
      <c r="D24" s="361"/>
      <c r="E24" s="357">
        <f t="shared" si="2"/>
        <v>1000478.42</v>
      </c>
      <c r="F24" s="357">
        <v>0</v>
      </c>
      <c r="G24" s="359">
        <v>0</v>
      </c>
      <c r="H24" s="357">
        <v>0</v>
      </c>
      <c r="I24" s="362">
        <v>310</v>
      </c>
      <c r="J24" s="356" t="s">
        <v>108</v>
      </c>
      <c r="K24" s="358">
        <f t="shared" si="3"/>
        <v>2022.07</v>
      </c>
      <c r="L24" s="357">
        <v>1000478.42</v>
      </c>
      <c r="M24" s="357">
        <v>0</v>
      </c>
      <c r="N24" s="357">
        <v>0</v>
      </c>
      <c r="O24" s="357">
        <v>0</v>
      </c>
      <c r="P24" s="357">
        <v>0</v>
      </c>
      <c r="Q24" s="357">
        <v>0</v>
      </c>
      <c r="R24" s="357">
        <v>0</v>
      </c>
      <c r="S24" s="357">
        <v>0</v>
      </c>
      <c r="T24" s="357">
        <v>0</v>
      </c>
      <c r="U24" s="357">
        <v>0</v>
      </c>
      <c r="V24" s="357">
        <v>0</v>
      </c>
    </row>
    <row r="25" spans="1:22" ht="9" hidden="1" customHeight="1">
      <c r="A25" s="358">
        <v>7</v>
      </c>
      <c r="B25" s="361" t="s">
        <v>116</v>
      </c>
      <c r="C25" s="361" t="s">
        <v>997</v>
      </c>
      <c r="D25" s="361"/>
      <c r="E25" s="357">
        <f t="shared" si="2"/>
        <v>2934226.36</v>
      </c>
      <c r="F25" s="357">
        <v>0</v>
      </c>
      <c r="G25" s="359">
        <v>0</v>
      </c>
      <c r="H25" s="357">
        <v>0</v>
      </c>
      <c r="I25" s="362">
        <v>1240.8</v>
      </c>
      <c r="J25" s="356" t="s">
        <v>108</v>
      </c>
      <c r="K25" s="358">
        <f t="shared" si="3"/>
        <v>2022.07</v>
      </c>
      <c r="L25" s="357">
        <v>2934226.36</v>
      </c>
      <c r="M25" s="357">
        <v>0</v>
      </c>
      <c r="N25" s="357">
        <v>0</v>
      </c>
      <c r="O25" s="357">
        <v>0</v>
      </c>
      <c r="P25" s="357">
        <v>0</v>
      </c>
      <c r="Q25" s="357">
        <v>0</v>
      </c>
      <c r="R25" s="357">
        <v>0</v>
      </c>
      <c r="S25" s="357">
        <v>0</v>
      </c>
      <c r="T25" s="357">
        <v>0</v>
      </c>
      <c r="U25" s="357">
        <v>0</v>
      </c>
      <c r="V25" s="357">
        <v>0</v>
      </c>
    </row>
    <row r="26" spans="1:22" ht="9" hidden="1" customHeight="1">
      <c r="A26" s="358">
        <v>8</v>
      </c>
      <c r="B26" s="361" t="s">
        <v>117</v>
      </c>
      <c r="C26" s="361" t="s">
        <v>997</v>
      </c>
      <c r="D26" s="361"/>
      <c r="E26" s="357">
        <f t="shared" si="2"/>
        <v>2979045.82</v>
      </c>
      <c r="F26" s="357">
        <v>0</v>
      </c>
      <c r="G26" s="359">
        <v>0</v>
      </c>
      <c r="H26" s="357">
        <v>0</v>
      </c>
      <c r="I26" s="362">
        <v>1240.8</v>
      </c>
      <c r="J26" s="363" t="s">
        <v>108</v>
      </c>
      <c r="K26" s="358">
        <f t="shared" si="3"/>
        <v>2022.07</v>
      </c>
      <c r="L26" s="357">
        <v>2979045.82</v>
      </c>
      <c r="M26" s="357">
        <v>0</v>
      </c>
      <c r="N26" s="357">
        <v>0</v>
      </c>
      <c r="O26" s="357">
        <v>0</v>
      </c>
      <c r="P26" s="357">
        <v>0</v>
      </c>
      <c r="Q26" s="357">
        <v>0</v>
      </c>
      <c r="R26" s="357">
        <v>0</v>
      </c>
      <c r="S26" s="357">
        <v>0</v>
      </c>
      <c r="T26" s="357">
        <v>0</v>
      </c>
      <c r="U26" s="357">
        <v>0</v>
      </c>
      <c r="V26" s="357">
        <v>0</v>
      </c>
    </row>
    <row r="27" spans="1:22" ht="9" hidden="1" customHeight="1">
      <c r="A27" s="358">
        <v>9</v>
      </c>
      <c r="B27" s="361" t="s">
        <v>408</v>
      </c>
      <c r="C27" s="361" t="s">
        <v>999</v>
      </c>
      <c r="D27" s="361"/>
      <c r="E27" s="357">
        <f t="shared" si="2"/>
        <v>2909823.25</v>
      </c>
      <c r="F27" s="357">
        <v>0</v>
      </c>
      <c r="G27" s="359">
        <v>1</v>
      </c>
      <c r="H27" s="357">
        <v>2909823.25</v>
      </c>
      <c r="I27" s="362">
        <v>0</v>
      </c>
      <c r="J27" s="363"/>
      <c r="K27" s="358"/>
      <c r="L27" s="357">
        <v>0</v>
      </c>
      <c r="M27" s="357">
        <v>0</v>
      </c>
      <c r="N27" s="357">
        <v>0</v>
      </c>
      <c r="O27" s="357">
        <v>0</v>
      </c>
      <c r="P27" s="357">
        <v>0</v>
      </c>
      <c r="Q27" s="357">
        <v>0</v>
      </c>
      <c r="R27" s="357">
        <v>0</v>
      </c>
      <c r="S27" s="357">
        <v>0</v>
      </c>
      <c r="T27" s="357">
        <v>0</v>
      </c>
      <c r="U27" s="357">
        <v>0</v>
      </c>
      <c r="V27" s="357">
        <v>0</v>
      </c>
    </row>
    <row r="28" spans="1:22" ht="9" hidden="1" customHeight="1">
      <c r="A28" s="358">
        <v>10</v>
      </c>
      <c r="B28" s="361" t="s">
        <v>118</v>
      </c>
      <c r="C28" s="361" t="s">
        <v>997</v>
      </c>
      <c r="D28" s="361"/>
      <c r="E28" s="357">
        <f t="shared" si="2"/>
        <v>2260048.5099999998</v>
      </c>
      <c r="F28" s="357">
        <v>0</v>
      </c>
      <c r="G28" s="359">
        <v>0</v>
      </c>
      <c r="H28" s="357">
        <v>0</v>
      </c>
      <c r="I28" s="362">
        <v>892.42</v>
      </c>
      <c r="J28" s="356" t="s">
        <v>108</v>
      </c>
      <c r="K28" s="358">
        <f t="shared" si="3"/>
        <v>2022.07</v>
      </c>
      <c r="L28" s="357">
        <v>2260048.5099999998</v>
      </c>
      <c r="M28" s="357">
        <v>0</v>
      </c>
      <c r="N28" s="357">
        <v>0</v>
      </c>
      <c r="O28" s="357">
        <v>0</v>
      </c>
      <c r="P28" s="357">
        <v>0</v>
      </c>
      <c r="Q28" s="357">
        <v>0</v>
      </c>
      <c r="R28" s="357">
        <v>0</v>
      </c>
      <c r="S28" s="357">
        <v>0</v>
      </c>
      <c r="T28" s="357">
        <v>0</v>
      </c>
      <c r="U28" s="357">
        <v>0</v>
      </c>
      <c r="V28" s="357">
        <v>0</v>
      </c>
    </row>
    <row r="29" spans="1:22" ht="9" hidden="1" customHeight="1">
      <c r="A29" s="358">
        <v>11</v>
      </c>
      <c r="B29" s="361" t="s">
        <v>119</v>
      </c>
      <c r="C29" s="361" t="s">
        <v>1000</v>
      </c>
      <c r="D29" s="361"/>
      <c r="E29" s="357">
        <f>F29+H29+L29+N29+P29+R29+S29+T29+U29+V29</f>
        <v>4502034.7</v>
      </c>
      <c r="F29" s="357">
        <v>4432617.3</v>
      </c>
      <c r="G29" s="359">
        <v>0</v>
      </c>
      <c r="H29" s="357">
        <v>0</v>
      </c>
      <c r="I29" s="357">
        <v>0</v>
      </c>
      <c r="J29" s="356" t="s">
        <v>407</v>
      </c>
      <c r="K29" s="358">
        <f>(190+270+260)*1.045</f>
        <v>752.4</v>
      </c>
      <c r="L29" s="357">
        <v>0</v>
      </c>
      <c r="M29" s="357">
        <v>0</v>
      </c>
      <c r="N29" s="357">
        <v>0</v>
      </c>
      <c r="O29" s="357">
        <v>0</v>
      </c>
      <c r="P29" s="357">
        <v>0</v>
      </c>
      <c r="Q29" s="357">
        <v>0</v>
      </c>
      <c r="R29" s="357">
        <v>0</v>
      </c>
      <c r="S29" s="357">
        <v>0</v>
      </c>
      <c r="T29" s="357">
        <v>0</v>
      </c>
      <c r="U29" s="357">
        <v>69417.399999999994</v>
      </c>
      <c r="V29" s="357">
        <v>0</v>
      </c>
    </row>
    <row r="30" spans="1:22" ht="9" hidden="1" customHeight="1">
      <c r="A30" s="358">
        <v>12</v>
      </c>
      <c r="B30" s="361" t="s">
        <v>120</v>
      </c>
      <c r="C30" s="361" t="s">
        <v>998</v>
      </c>
      <c r="D30" s="361"/>
      <c r="E30" s="357">
        <f t="shared" si="2"/>
        <v>838771.23</v>
      </c>
      <c r="F30" s="357">
        <v>0</v>
      </c>
      <c r="G30" s="359">
        <v>0</v>
      </c>
      <c r="H30" s="357">
        <v>0</v>
      </c>
      <c r="I30" s="362">
        <v>262.10000000000002</v>
      </c>
      <c r="J30" s="356" t="s">
        <v>109</v>
      </c>
      <c r="K30" s="358">
        <f t="shared" si="3"/>
        <v>3438.05</v>
      </c>
      <c r="L30" s="357">
        <v>838771.23</v>
      </c>
      <c r="M30" s="357">
        <v>0</v>
      </c>
      <c r="N30" s="357">
        <v>0</v>
      </c>
      <c r="O30" s="357">
        <v>0</v>
      </c>
      <c r="P30" s="357">
        <v>0</v>
      </c>
      <c r="Q30" s="357">
        <v>0</v>
      </c>
      <c r="R30" s="357">
        <v>0</v>
      </c>
      <c r="S30" s="357">
        <v>0</v>
      </c>
      <c r="T30" s="357">
        <v>0</v>
      </c>
      <c r="U30" s="357">
        <v>0</v>
      </c>
      <c r="V30" s="357">
        <v>0</v>
      </c>
    </row>
    <row r="31" spans="1:22" ht="9" hidden="1" customHeight="1">
      <c r="A31" s="358">
        <v>13</v>
      </c>
      <c r="B31" s="361" t="s">
        <v>121</v>
      </c>
      <c r="C31" s="361" t="s">
        <v>998</v>
      </c>
      <c r="D31" s="361"/>
      <c r="E31" s="357">
        <f t="shared" si="2"/>
        <v>1285344.3999999999</v>
      </c>
      <c r="F31" s="357">
        <v>0</v>
      </c>
      <c r="G31" s="359">
        <v>0</v>
      </c>
      <c r="H31" s="357">
        <v>0</v>
      </c>
      <c r="I31" s="362">
        <v>424.3</v>
      </c>
      <c r="J31" s="356" t="s">
        <v>109</v>
      </c>
      <c r="K31" s="358">
        <f t="shared" si="3"/>
        <v>3438.05</v>
      </c>
      <c r="L31" s="357">
        <v>1285344.3999999999</v>
      </c>
      <c r="M31" s="357">
        <v>0</v>
      </c>
      <c r="N31" s="357">
        <v>0</v>
      </c>
      <c r="O31" s="357">
        <v>0</v>
      </c>
      <c r="P31" s="357">
        <v>0</v>
      </c>
      <c r="Q31" s="357">
        <v>0</v>
      </c>
      <c r="R31" s="357">
        <v>0</v>
      </c>
      <c r="S31" s="357">
        <v>0</v>
      </c>
      <c r="T31" s="357">
        <v>0</v>
      </c>
      <c r="U31" s="357">
        <v>0</v>
      </c>
      <c r="V31" s="357">
        <v>0</v>
      </c>
    </row>
    <row r="32" spans="1:22" s="335" customFormat="1" ht="9" hidden="1" customHeight="1">
      <c r="A32" s="358">
        <v>14</v>
      </c>
      <c r="B32" s="361" t="s">
        <v>122</v>
      </c>
      <c r="C32" s="361" t="s">
        <v>998</v>
      </c>
      <c r="D32" s="361"/>
      <c r="E32" s="357">
        <f t="shared" si="2"/>
        <v>2235658.4300000002</v>
      </c>
      <c r="F32" s="357">
        <v>0</v>
      </c>
      <c r="G32" s="359">
        <v>0</v>
      </c>
      <c r="H32" s="357">
        <v>0</v>
      </c>
      <c r="I32" s="362">
        <v>811.2</v>
      </c>
      <c r="J32" s="356" t="s">
        <v>109</v>
      </c>
      <c r="K32" s="358">
        <f t="shared" si="3"/>
        <v>3438.05</v>
      </c>
      <c r="L32" s="357">
        <v>2235658.4300000002</v>
      </c>
      <c r="M32" s="357">
        <v>0</v>
      </c>
      <c r="N32" s="357">
        <v>0</v>
      </c>
      <c r="O32" s="357">
        <v>0</v>
      </c>
      <c r="P32" s="357">
        <v>0</v>
      </c>
      <c r="Q32" s="357">
        <v>0</v>
      </c>
      <c r="R32" s="357">
        <v>0</v>
      </c>
      <c r="S32" s="357">
        <v>0</v>
      </c>
      <c r="T32" s="357">
        <v>0</v>
      </c>
      <c r="U32" s="357">
        <v>0</v>
      </c>
      <c r="V32" s="357">
        <v>0</v>
      </c>
    </row>
    <row r="33" spans="1:22" ht="9" hidden="1" customHeight="1">
      <c r="A33" s="358">
        <v>15</v>
      </c>
      <c r="B33" s="361" t="s">
        <v>123</v>
      </c>
      <c r="C33" s="361" t="s">
        <v>1000</v>
      </c>
      <c r="D33" s="361"/>
      <c r="E33" s="357">
        <f t="shared" si="2"/>
        <v>6293754.2000000002</v>
      </c>
      <c r="F33" s="357">
        <v>6220928.8700000001</v>
      </c>
      <c r="G33" s="359">
        <v>0</v>
      </c>
      <c r="H33" s="357">
        <v>0</v>
      </c>
      <c r="I33" s="362">
        <v>0</v>
      </c>
      <c r="J33" s="363" t="s">
        <v>416</v>
      </c>
      <c r="K33" s="358">
        <f>(271.7+198.55+1107.7+209+177.65)*'Приложение 1'!K30</f>
        <v>7434930.4699999997</v>
      </c>
      <c r="L33" s="357">
        <v>0</v>
      </c>
      <c r="M33" s="357">
        <v>0</v>
      </c>
      <c r="N33" s="357">
        <v>0</v>
      </c>
      <c r="O33" s="357">
        <v>0</v>
      </c>
      <c r="P33" s="357">
        <v>0</v>
      </c>
      <c r="Q33" s="357">
        <v>0</v>
      </c>
      <c r="R33" s="357">
        <v>0</v>
      </c>
      <c r="S33" s="357">
        <v>0</v>
      </c>
      <c r="T33" s="357">
        <v>0</v>
      </c>
      <c r="U33" s="357">
        <v>72825.33</v>
      </c>
      <c r="V33" s="357">
        <v>0</v>
      </c>
    </row>
    <row r="34" spans="1:22" s="335" customFormat="1" ht="9" hidden="1" customHeight="1">
      <c r="A34" s="358">
        <v>16</v>
      </c>
      <c r="B34" s="361" t="s">
        <v>125</v>
      </c>
      <c r="C34" s="361" t="s">
        <v>998</v>
      </c>
      <c r="D34" s="361"/>
      <c r="E34" s="357">
        <f t="shared" si="2"/>
        <v>2934840.13</v>
      </c>
      <c r="F34" s="357">
        <v>0</v>
      </c>
      <c r="G34" s="359">
        <v>0</v>
      </c>
      <c r="H34" s="357">
        <v>0</v>
      </c>
      <c r="I34" s="362">
        <v>765.3</v>
      </c>
      <c r="J34" s="356" t="s">
        <v>109</v>
      </c>
      <c r="K34" s="358">
        <f t="shared" si="3"/>
        <v>3438.05</v>
      </c>
      <c r="L34" s="357">
        <v>2934840.13</v>
      </c>
      <c r="M34" s="357">
        <v>0</v>
      </c>
      <c r="N34" s="357">
        <v>0</v>
      </c>
      <c r="O34" s="357">
        <v>0</v>
      </c>
      <c r="P34" s="357">
        <v>0</v>
      </c>
      <c r="Q34" s="357">
        <v>0</v>
      </c>
      <c r="R34" s="357">
        <v>0</v>
      </c>
      <c r="S34" s="357">
        <v>0</v>
      </c>
      <c r="T34" s="357">
        <v>0</v>
      </c>
      <c r="U34" s="357">
        <v>0</v>
      </c>
      <c r="V34" s="357">
        <v>0</v>
      </c>
    </row>
    <row r="35" spans="1:22" s="335" customFormat="1" ht="9" hidden="1" customHeight="1">
      <c r="A35" s="358">
        <v>17</v>
      </c>
      <c r="B35" s="361" t="s">
        <v>126</v>
      </c>
      <c r="C35" s="361" t="s">
        <v>998</v>
      </c>
      <c r="D35" s="361"/>
      <c r="E35" s="357">
        <f t="shared" si="2"/>
        <v>1840661.3</v>
      </c>
      <c r="F35" s="357">
        <v>0</v>
      </c>
      <c r="G35" s="359">
        <v>0</v>
      </c>
      <c r="H35" s="357">
        <v>0</v>
      </c>
      <c r="I35" s="362">
        <v>435</v>
      </c>
      <c r="J35" s="356" t="s">
        <v>109</v>
      </c>
      <c r="K35" s="358">
        <f t="shared" si="3"/>
        <v>3438.05</v>
      </c>
      <c r="L35" s="357">
        <v>1840661.3</v>
      </c>
      <c r="M35" s="357">
        <v>0</v>
      </c>
      <c r="N35" s="357">
        <v>0</v>
      </c>
      <c r="O35" s="357">
        <v>0</v>
      </c>
      <c r="P35" s="357">
        <v>0</v>
      </c>
      <c r="Q35" s="357">
        <v>0</v>
      </c>
      <c r="R35" s="357">
        <v>0</v>
      </c>
      <c r="S35" s="357">
        <v>0</v>
      </c>
      <c r="T35" s="357">
        <v>0</v>
      </c>
      <c r="U35" s="357">
        <v>0</v>
      </c>
      <c r="V35" s="357">
        <v>0</v>
      </c>
    </row>
    <row r="36" spans="1:22" ht="9" hidden="1" customHeight="1">
      <c r="A36" s="358">
        <v>18</v>
      </c>
      <c r="B36" s="361" t="s">
        <v>127</v>
      </c>
      <c r="C36" s="361" t="s">
        <v>998</v>
      </c>
      <c r="D36" s="361"/>
      <c r="E36" s="357">
        <f t="shared" si="2"/>
        <v>2481689.17</v>
      </c>
      <c r="F36" s="357">
        <v>0</v>
      </c>
      <c r="G36" s="359">
        <v>0</v>
      </c>
      <c r="H36" s="357">
        <v>0</v>
      </c>
      <c r="I36" s="362">
        <v>744</v>
      </c>
      <c r="J36" s="356" t="s">
        <v>109</v>
      </c>
      <c r="K36" s="358">
        <f t="shared" si="3"/>
        <v>3438.05</v>
      </c>
      <c r="L36" s="357">
        <v>2481689.17</v>
      </c>
      <c r="M36" s="357">
        <v>0</v>
      </c>
      <c r="N36" s="357">
        <v>0</v>
      </c>
      <c r="O36" s="357">
        <v>0</v>
      </c>
      <c r="P36" s="357">
        <v>0</v>
      </c>
      <c r="Q36" s="357">
        <v>0</v>
      </c>
      <c r="R36" s="357">
        <v>0</v>
      </c>
      <c r="S36" s="357">
        <v>0</v>
      </c>
      <c r="T36" s="357">
        <v>0</v>
      </c>
      <c r="U36" s="357">
        <v>0</v>
      </c>
      <c r="V36" s="357">
        <v>0</v>
      </c>
    </row>
    <row r="37" spans="1:22" s="335" customFormat="1" ht="9" hidden="1" customHeight="1">
      <c r="A37" s="358">
        <v>19</v>
      </c>
      <c r="B37" s="361" t="s">
        <v>128</v>
      </c>
      <c r="C37" s="361" t="s">
        <v>1001</v>
      </c>
      <c r="D37" s="361"/>
      <c r="E37" s="357">
        <f t="shared" si="2"/>
        <v>16873685.969999999</v>
      </c>
      <c r="F37" s="357">
        <v>0</v>
      </c>
      <c r="G37" s="359">
        <v>0</v>
      </c>
      <c r="H37" s="357">
        <v>0</v>
      </c>
      <c r="I37" s="362">
        <v>0</v>
      </c>
      <c r="J37" s="356">
        <f>K37*'Приложение 1'!K34</f>
        <v>33135967.699999999</v>
      </c>
      <c r="K37" s="357">
        <f>(200+1060+170+260+190+270)*1.045</f>
        <v>2246.75</v>
      </c>
      <c r="L37" s="357">
        <f>I37*K37</f>
        <v>0</v>
      </c>
      <c r="M37" s="357">
        <v>0</v>
      </c>
      <c r="N37" s="357">
        <v>0</v>
      </c>
      <c r="O37" s="357">
        <v>7689.2</v>
      </c>
      <c r="P37" s="357">
        <v>16873685.969999999</v>
      </c>
      <c r="Q37" s="357">
        <v>0</v>
      </c>
      <c r="R37" s="357">
        <v>0</v>
      </c>
      <c r="S37" s="357">
        <v>0</v>
      </c>
      <c r="T37" s="357">
        <v>0</v>
      </c>
      <c r="U37" s="357">
        <v>0</v>
      </c>
      <c r="V37" s="357">
        <v>0</v>
      </c>
    </row>
    <row r="38" spans="1:22" ht="9" hidden="1" customHeight="1">
      <c r="A38" s="358">
        <v>20</v>
      </c>
      <c r="B38" s="361" t="s">
        <v>129</v>
      </c>
      <c r="C38" s="361" t="s">
        <v>998</v>
      </c>
      <c r="D38" s="361"/>
      <c r="E38" s="357">
        <f t="shared" si="2"/>
        <v>1926039.32</v>
      </c>
      <c r="F38" s="357">
        <v>0</v>
      </c>
      <c r="G38" s="359">
        <v>0</v>
      </c>
      <c r="H38" s="357">
        <v>0</v>
      </c>
      <c r="I38" s="362">
        <v>573.24</v>
      </c>
      <c r="J38" s="356" t="s">
        <v>109</v>
      </c>
      <c r="K38" s="358">
        <f t="shared" si="3"/>
        <v>3438.05</v>
      </c>
      <c r="L38" s="357">
        <v>1926039.32</v>
      </c>
      <c r="M38" s="357">
        <v>0</v>
      </c>
      <c r="N38" s="357">
        <v>0</v>
      </c>
      <c r="O38" s="357">
        <v>0</v>
      </c>
      <c r="P38" s="357">
        <v>0</v>
      </c>
      <c r="Q38" s="357">
        <v>0</v>
      </c>
      <c r="R38" s="357">
        <v>0</v>
      </c>
      <c r="S38" s="357">
        <v>0</v>
      </c>
      <c r="T38" s="357">
        <v>0</v>
      </c>
      <c r="U38" s="357">
        <v>0</v>
      </c>
      <c r="V38" s="357">
        <v>0</v>
      </c>
    </row>
    <row r="39" spans="1:22" ht="9" hidden="1" customHeight="1">
      <c r="A39" s="358">
        <v>21</v>
      </c>
      <c r="B39" s="361" t="s">
        <v>130</v>
      </c>
      <c r="C39" s="361" t="s">
        <v>998</v>
      </c>
      <c r="D39" s="361"/>
      <c r="E39" s="357">
        <f t="shared" si="2"/>
        <v>1947900.92</v>
      </c>
      <c r="F39" s="357">
        <v>0</v>
      </c>
      <c r="G39" s="359">
        <v>0</v>
      </c>
      <c r="H39" s="357">
        <v>0</v>
      </c>
      <c r="I39" s="362">
        <v>593.70000000000005</v>
      </c>
      <c r="J39" s="356" t="s">
        <v>109</v>
      </c>
      <c r="K39" s="358">
        <f t="shared" si="3"/>
        <v>3438.05</v>
      </c>
      <c r="L39" s="357">
        <v>1947900.92</v>
      </c>
      <c r="M39" s="357">
        <v>0</v>
      </c>
      <c r="N39" s="357">
        <v>0</v>
      </c>
      <c r="O39" s="357">
        <v>0</v>
      </c>
      <c r="P39" s="357">
        <v>0</v>
      </c>
      <c r="Q39" s="357">
        <v>0</v>
      </c>
      <c r="R39" s="357">
        <v>0</v>
      </c>
      <c r="S39" s="357">
        <v>0</v>
      </c>
      <c r="T39" s="357">
        <v>0</v>
      </c>
      <c r="U39" s="357">
        <v>0</v>
      </c>
      <c r="V39" s="357">
        <v>0</v>
      </c>
    </row>
    <row r="40" spans="1:22" ht="9" hidden="1" customHeight="1">
      <c r="A40" s="358">
        <v>22</v>
      </c>
      <c r="B40" s="361" t="s">
        <v>131</v>
      </c>
      <c r="C40" s="361" t="s">
        <v>1001</v>
      </c>
      <c r="D40" s="361"/>
      <c r="E40" s="357">
        <f t="shared" si="2"/>
        <v>4092005.44</v>
      </c>
      <c r="F40" s="357">
        <v>0</v>
      </c>
      <c r="G40" s="359">
        <v>0</v>
      </c>
      <c r="H40" s="357">
        <v>0</v>
      </c>
      <c r="I40" s="362">
        <v>0</v>
      </c>
      <c r="J40" s="356"/>
      <c r="K40" s="358">
        <v>0</v>
      </c>
      <c r="L40" s="357">
        <v>0</v>
      </c>
      <c r="M40" s="357">
        <v>0</v>
      </c>
      <c r="N40" s="357">
        <v>0</v>
      </c>
      <c r="O40" s="357">
        <v>1993</v>
      </c>
      <c r="P40" s="357">
        <v>4092005.44</v>
      </c>
      <c r="Q40" s="357">
        <v>0</v>
      </c>
      <c r="R40" s="357">
        <v>0</v>
      </c>
      <c r="S40" s="357">
        <v>0</v>
      </c>
      <c r="T40" s="357">
        <v>0</v>
      </c>
      <c r="U40" s="357">
        <v>0</v>
      </c>
      <c r="V40" s="357">
        <v>0</v>
      </c>
    </row>
    <row r="41" spans="1:22" ht="9" hidden="1" customHeight="1">
      <c r="A41" s="358">
        <v>23</v>
      </c>
      <c r="B41" s="361" t="s">
        <v>132</v>
      </c>
      <c r="C41" s="361" t="s">
        <v>997</v>
      </c>
      <c r="D41" s="361"/>
      <c r="E41" s="357">
        <f t="shared" si="2"/>
        <v>3859085.66</v>
      </c>
      <c r="F41" s="357">
        <v>0</v>
      </c>
      <c r="G41" s="359">
        <v>0</v>
      </c>
      <c r="H41" s="357">
        <v>0</v>
      </c>
      <c r="I41" s="362">
        <v>924.3</v>
      </c>
      <c r="J41" s="356" t="s">
        <v>108</v>
      </c>
      <c r="K41" s="358">
        <f t="shared" si="3"/>
        <v>2022.07</v>
      </c>
      <c r="L41" s="357">
        <v>3859085.66</v>
      </c>
      <c r="M41" s="357">
        <v>0</v>
      </c>
      <c r="N41" s="357">
        <v>0</v>
      </c>
      <c r="O41" s="357">
        <v>0</v>
      </c>
      <c r="P41" s="357">
        <v>0</v>
      </c>
      <c r="Q41" s="357">
        <v>0</v>
      </c>
      <c r="R41" s="357">
        <v>0</v>
      </c>
      <c r="S41" s="357">
        <v>0</v>
      </c>
      <c r="T41" s="357">
        <v>0</v>
      </c>
      <c r="U41" s="357">
        <v>0</v>
      </c>
      <c r="V41" s="357">
        <v>0</v>
      </c>
    </row>
    <row r="42" spans="1:22" ht="9" hidden="1" customHeight="1">
      <c r="A42" s="358">
        <v>24</v>
      </c>
      <c r="B42" s="361" t="s">
        <v>133</v>
      </c>
      <c r="C42" s="361" t="s">
        <v>998</v>
      </c>
      <c r="D42" s="361"/>
      <c r="E42" s="357">
        <f t="shared" si="2"/>
        <v>2413625.36</v>
      </c>
      <c r="F42" s="357">
        <v>0</v>
      </c>
      <c r="G42" s="359">
        <v>0</v>
      </c>
      <c r="H42" s="357">
        <v>0</v>
      </c>
      <c r="I42" s="362">
        <v>839</v>
      </c>
      <c r="J42" s="356" t="s">
        <v>109</v>
      </c>
      <c r="K42" s="358">
        <f t="shared" si="3"/>
        <v>3438.05</v>
      </c>
      <c r="L42" s="357">
        <v>2413625.36</v>
      </c>
      <c r="M42" s="357">
        <v>0</v>
      </c>
      <c r="N42" s="357">
        <v>0</v>
      </c>
      <c r="O42" s="357">
        <v>0</v>
      </c>
      <c r="P42" s="357">
        <v>0</v>
      </c>
      <c r="Q42" s="357">
        <v>0</v>
      </c>
      <c r="R42" s="357">
        <v>0</v>
      </c>
      <c r="S42" s="357">
        <v>0</v>
      </c>
      <c r="T42" s="357">
        <v>0</v>
      </c>
      <c r="U42" s="357">
        <v>0</v>
      </c>
      <c r="V42" s="357">
        <v>0</v>
      </c>
    </row>
    <row r="43" spans="1:22" s="335" customFormat="1" ht="9" hidden="1" customHeight="1">
      <c r="A43" s="358">
        <v>25</v>
      </c>
      <c r="B43" s="361" t="s">
        <v>134</v>
      </c>
      <c r="C43" s="361" t="s">
        <v>998</v>
      </c>
      <c r="D43" s="361"/>
      <c r="E43" s="357">
        <f t="shared" si="2"/>
        <v>1676476.44</v>
      </c>
      <c r="F43" s="357">
        <v>0</v>
      </c>
      <c r="G43" s="359">
        <v>0</v>
      </c>
      <c r="H43" s="357">
        <v>0</v>
      </c>
      <c r="I43" s="362">
        <v>471</v>
      </c>
      <c r="J43" s="356" t="s">
        <v>109</v>
      </c>
      <c r="K43" s="358">
        <f t="shared" si="3"/>
        <v>3438.05</v>
      </c>
      <c r="L43" s="357">
        <v>1676476.44</v>
      </c>
      <c r="M43" s="357">
        <v>0</v>
      </c>
      <c r="N43" s="357">
        <v>0</v>
      </c>
      <c r="O43" s="357">
        <v>0</v>
      </c>
      <c r="P43" s="357">
        <v>0</v>
      </c>
      <c r="Q43" s="357">
        <v>0</v>
      </c>
      <c r="R43" s="357">
        <v>0</v>
      </c>
      <c r="S43" s="357">
        <v>0</v>
      </c>
      <c r="T43" s="357">
        <v>0</v>
      </c>
      <c r="U43" s="357">
        <v>0</v>
      </c>
      <c r="V43" s="357">
        <v>0</v>
      </c>
    </row>
    <row r="44" spans="1:22" ht="9" hidden="1" customHeight="1">
      <c r="A44" s="358">
        <v>26</v>
      </c>
      <c r="B44" s="361" t="s">
        <v>135</v>
      </c>
      <c r="C44" s="361" t="s">
        <v>997</v>
      </c>
      <c r="D44" s="361"/>
      <c r="E44" s="357">
        <f t="shared" si="2"/>
        <v>3253567.42</v>
      </c>
      <c r="F44" s="357">
        <v>0</v>
      </c>
      <c r="G44" s="359">
        <v>0</v>
      </c>
      <c r="H44" s="357">
        <v>0</v>
      </c>
      <c r="I44" s="362">
        <v>931</v>
      </c>
      <c r="J44" s="363" t="s">
        <v>108</v>
      </c>
      <c r="K44" s="358">
        <f t="shared" si="3"/>
        <v>2022.07</v>
      </c>
      <c r="L44" s="357">
        <v>3253567.42</v>
      </c>
      <c r="M44" s="357">
        <v>0</v>
      </c>
      <c r="N44" s="357">
        <v>0</v>
      </c>
      <c r="O44" s="357">
        <v>0</v>
      </c>
      <c r="P44" s="357">
        <v>0</v>
      </c>
      <c r="Q44" s="357">
        <v>0</v>
      </c>
      <c r="R44" s="357">
        <v>0</v>
      </c>
      <c r="S44" s="357">
        <v>0</v>
      </c>
      <c r="T44" s="357">
        <v>0</v>
      </c>
      <c r="U44" s="357">
        <v>0</v>
      </c>
      <c r="V44" s="357">
        <v>0</v>
      </c>
    </row>
    <row r="45" spans="1:22" ht="9" hidden="1" customHeight="1">
      <c r="A45" s="358">
        <v>27</v>
      </c>
      <c r="B45" s="361" t="s">
        <v>136</v>
      </c>
      <c r="C45" s="361" t="s">
        <v>1000</v>
      </c>
      <c r="D45" s="361"/>
      <c r="E45" s="357">
        <f t="shared" si="2"/>
        <v>4482770.3499999996</v>
      </c>
      <c r="F45" s="357">
        <v>4482770.3499999996</v>
      </c>
      <c r="G45" s="359">
        <v>0</v>
      </c>
      <c r="H45" s="357">
        <v>0</v>
      </c>
      <c r="I45" s="362">
        <v>0</v>
      </c>
      <c r="J45" s="363" t="s">
        <v>416</v>
      </c>
      <c r="K45" s="358">
        <f>(271.7+198.55+1107.7+209+177.65)*'Приложение 1'!K42</f>
        <v>5140768.82</v>
      </c>
      <c r="L45" s="357">
        <f>I45*K45</f>
        <v>0</v>
      </c>
      <c r="M45" s="357">
        <v>0</v>
      </c>
      <c r="N45" s="357">
        <v>0</v>
      </c>
      <c r="O45" s="357">
        <v>0</v>
      </c>
      <c r="P45" s="357">
        <v>0</v>
      </c>
      <c r="Q45" s="357">
        <v>0</v>
      </c>
      <c r="R45" s="357">
        <v>0</v>
      </c>
      <c r="S45" s="357">
        <v>0</v>
      </c>
      <c r="T45" s="357">
        <v>0</v>
      </c>
      <c r="U45" s="357">
        <v>0</v>
      </c>
      <c r="V45" s="357">
        <v>0</v>
      </c>
    </row>
    <row r="46" spans="1:22" ht="9" hidden="1" customHeight="1">
      <c r="A46" s="358">
        <v>28</v>
      </c>
      <c r="B46" s="361" t="s">
        <v>137</v>
      </c>
      <c r="C46" s="361" t="s">
        <v>998</v>
      </c>
      <c r="D46" s="361"/>
      <c r="E46" s="357">
        <f t="shared" si="2"/>
        <v>1282926.6499999999</v>
      </c>
      <c r="F46" s="357">
        <v>0</v>
      </c>
      <c r="G46" s="359">
        <v>0</v>
      </c>
      <c r="H46" s="357">
        <v>0</v>
      </c>
      <c r="I46" s="362">
        <v>386</v>
      </c>
      <c r="J46" s="356" t="s">
        <v>109</v>
      </c>
      <c r="K46" s="358">
        <f t="shared" si="3"/>
        <v>3438.05</v>
      </c>
      <c r="L46" s="357">
        <v>1282926.6499999999</v>
      </c>
      <c r="M46" s="357">
        <v>0</v>
      </c>
      <c r="N46" s="357">
        <v>0</v>
      </c>
      <c r="O46" s="357">
        <v>0</v>
      </c>
      <c r="P46" s="357">
        <v>0</v>
      </c>
      <c r="Q46" s="357">
        <v>0</v>
      </c>
      <c r="R46" s="357">
        <v>0</v>
      </c>
      <c r="S46" s="357">
        <v>0</v>
      </c>
      <c r="T46" s="357">
        <v>0</v>
      </c>
      <c r="U46" s="357">
        <v>0</v>
      </c>
      <c r="V46" s="357">
        <v>0</v>
      </c>
    </row>
    <row r="47" spans="1:22" s="335" customFormat="1" ht="9" hidden="1" customHeight="1">
      <c r="A47" s="358">
        <v>29</v>
      </c>
      <c r="B47" s="361" t="s">
        <v>138</v>
      </c>
      <c r="C47" s="361" t="s">
        <v>998</v>
      </c>
      <c r="D47" s="361"/>
      <c r="E47" s="357">
        <f t="shared" si="2"/>
        <v>3355977.56</v>
      </c>
      <c r="F47" s="357">
        <v>0</v>
      </c>
      <c r="G47" s="359">
        <v>0</v>
      </c>
      <c r="H47" s="357">
        <v>0</v>
      </c>
      <c r="I47" s="362">
        <v>1002.5</v>
      </c>
      <c r="J47" s="356" t="s">
        <v>109</v>
      </c>
      <c r="K47" s="358">
        <f t="shared" si="3"/>
        <v>3438.05</v>
      </c>
      <c r="L47" s="357">
        <v>3355977.56</v>
      </c>
      <c r="M47" s="357">
        <v>0</v>
      </c>
      <c r="N47" s="357">
        <v>0</v>
      </c>
      <c r="O47" s="357">
        <v>0</v>
      </c>
      <c r="P47" s="357">
        <v>0</v>
      </c>
      <c r="Q47" s="357">
        <v>0</v>
      </c>
      <c r="R47" s="357">
        <v>0</v>
      </c>
      <c r="S47" s="357">
        <v>0</v>
      </c>
      <c r="T47" s="357">
        <v>0</v>
      </c>
      <c r="U47" s="357">
        <v>0</v>
      </c>
      <c r="V47" s="357">
        <v>0</v>
      </c>
    </row>
    <row r="48" spans="1:22" ht="9" hidden="1" customHeight="1">
      <c r="A48" s="358">
        <v>30</v>
      </c>
      <c r="B48" s="361" t="s">
        <v>139</v>
      </c>
      <c r="C48" s="361" t="s">
        <v>998</v>
      </c>
      <c r="D48" s="361"/>
      <c r="E48" s="357">
        <f t="shared" si="2"/>
        <v>1843490.35</v>
      </c>
      <c r="F48" s="357">
        <v>0</v>
      </c>
      <c r="G48" s="359">
        <v>0</v>
      </c>
      <c r="H48" s="357">
        <v>0</v>
      </c>
      <c r="I48" s="362">
        <v>508.7</v>
      </c>
      <c r="J48" s="356" t="s">
        <v>109</v>
      </c>
      <c r="K48" s="358">
        <f t="shared" si="3"/>
        <v>3438.05</v>
      </c>
      <c r="L48" s="357">
        <v>1843490.35</v>
      </c>
      <c r="M48" s="357">
        <v>0</v>
      </c>
      <c r="N48" s="357">
        <v>0</v>
      </c>
      <c r="O48" s="357">
        <v>0</v>
      </c>
      <c r="P48" s="357">
        <v>0</v>
      </c>
      <c r="Q48" s="357">
        <v>0</v>
      </c>
      <c r="R48" s="357">
        <v>0</v>
      </c>
      <c r="S48" s="357">
        <v>0</v>
      </c>
      <c r="T48" s="357">
        <v>0</v>
      </c>
      <c r="U48" s="357">
        <v>0</v>
      </c>
      <c r="V48" s="357">
        <v>0</v>
      </c>
    </row>
    <row r="49" spans="1:22" s="335" customFormat="1" ht="9" hidden="1" customHeight="1">
      <c r="A49" s="358">
        <v>31</v>
      </c>
      <c r="B49" s="361" t="s">
        <v>140</v>
      </c>
      <c r="C49" s="361" t="s">
        <v>997</v>
      </c>
      <c r="D49" s="361"/>
      <c r="E49" s="357">
        <f t="shared" si="2"/>
        <v>1825435.67</v>
      </c>
      <c r="F49" s="357">
        <v>0</v>
      </c>
      <c r="G49" s="359">
        <v>0</v>
      </c>
      <c r="H49" s="357">
        <v>0</v>
      </c>
      <c r="I49" s="362">
        <v>628</v>
      </c>
      <c r="J49" s="356" t="s">
        <v>108</v>
      </c>
      <c r="K49" s="358">
        <f t="shared" si="3"/>
        <v>2022.07</v>
      </c>
      <c r="L49" s="357">
        <v>1825435.67</v>
      </c>
      <c r="M49" s="357">
        <v>0</v>
      </c>
      <c r="N49" s="357">
        <v>0</v>
      </c>
      <c r="O49" s="357">
        <v>0</v>
      </c>
      <c r="P49" s="357">
        <v>0</v>
      </c>
      <c r="Q49" s="357">
        <v>0</v>
      </c>
      <c r="R49" s="357">
        <v>0</v>
      </c>
      <c r="S49" s="357">
        <v>0</v>
      </c>
      <c r="T49" s="357">
        <v>0</v>
      </c>
      <c r="U49" s="357">
        <v>0</v>
      </c>
      <c r="V49" s="357">
        <v>0</v>
      </c>
    </row>
    <row r="50" spans="1:22" ht="9" hidden="1" customHeight="1">
      <c r="A50" s="358">
        <v>32</v>
      </c>
      <c r="B50" s="361" t="s">
        <v>141</v>
      </c>
      <c r="C50" s="361" t="s">
        <v>997</v>
      </c>
      <c r="D50" s="361"/>
      <c r="E50" s="357">
        <f t="shared" si="2"/>
        <v>1411234.78</v>
      </c>
      <c r="F50" s="357">
        <v>0</v>
      </c>
      <c r="G50" s="359">
        <v>0</v>
      </c>
      <c r="H50" s="357">
        <v>0</v>
      </c>
      <c r="I50" s="362">
        <v>463</v>
      </c>
      <c r="J50" s="356" t="s">
        <v>108</v>
      </c>
      <c r="K50" s="358">
        <f t="shared" si="3"/>
        <v>2022.07</v>
      </c>
      <c r="L50" s="357">
        <v>1411234.78</v>
      </c>
      <c r="M50" s="357">
        <v>0</v>
      </c>
      <c r="N50" s="357">
        <v>0</v>
      </c>
      <c r="O50" s="357">
        <v>0</v>
      </c>
      <c r="P50" s="357">
        <v>0</v>
      </c>
      <c r="Q50" s="357">
        <v>0</v>
      </c>
      <c r="R50" s="357">
        <v>0</v>
      </c>
      <c r="S50" s="357">
        <v>0</v>
      </c>
      <c r="T50" s="357">
        <v>0</v>
      </c>
      <c r="U50" s="357">
        <v>0</v>
      </c>
      <c r="V50" s="357">
        <v>0</v>
      </c>
    </row>
    <row r="51" spans="1:22" ht="9" hidden="1" customHeight="1">
      <c r="A51" s="358">
        <v>33</v>
      </c>
      <c r="B51" s="361" t="s">
        <v>142</v>
      </c>
      <c r="C51" s="361" t="s">
        <v>997</v>
      </c>
      <c r="D51" s="361"/>
      <c r="E51" s="357">
        <f t="shared" si="2"/>
        <v>2584113.1800000002</v>
      </c>
      <c r="F51" s="357">
        <v>0</v>
      </c>
      <c r="G51" s="359">
        <v>0</v>
      </c>
      <c r="H51" s="357">
        <v>0</v>
      </c>
      <c r="I51" s="362">
        <v>940</v>
      </c>
      <c r="J51" s="356" t="s">
        <v>108</v>
      </c>
      <c r="K51" s="358">
        <f t="shared" si="3"/>
        <v>2022.07</v>
      </c>
      <c r="L51" s="357">
        <v>2584113.1800000002</v>
      </c>
      <c r="M51" s="357">
        <v>0</v>
      </c>
      <c r="N51" s="357">
        <v>0</v>
      </c>
      <c r="O51" s="357">
        <v>0</v>
      </c>
      <c r="P51" s="357">
        <v>0</v>
      </c>
      <c r="Q51" s="357">
        <v>0</v>
      </c>
      <c r="R51" s="357">
        <v>0</v>
      </c>
      <c r="S51" s="357">
        <v>0</v>
      </c>
      <c r="T51" s="357">
        <v>0</v>
      </c>
      <c r="U51" s="357">
        <v>0</v>
      </c>
      <c r="V51" s="357">
        <v>0</v>
      </c>
    </row>
    <row r="52" spans="1:22" s="335" customFormat="1" ht="9" hidden="1" customHeight="1">
      <c r="A52" s="358">
        <v>34</v>
      </c>
      <c r="B52" s="361" t="s">
        <v>143</v>
      </c>
      <c r="C52" s="361" t="s">
        <v>997</v>
      </c>
      <c r="D52" s="361"/>
      <c r="E52" s="357">
        <f t="shared" si="2"/>
        <v>2435117.0699999998</v>
      </c>
      <c r="F52" s="357">
        <v>0</v>
      </c>
      <c r="G52" s="359">
        <v>0</v>
      </c>
      <c r="H52" s="357">
        <v>0</v>
      </c>
      <c r="I52" s="357">
        <v>864</v>
      </c>
      <c r="J52" s="356" t="s">
        <v>108</v>
      </c>
      <c r="K52" s="358">
        <f t="shared" si="3"/>
        <v>2022.07</v>
      </c>
      <c r="L52" s="357">
        <v>2435117.0699999998</v>
      </c>
      <c r="M52" s="357">
        <v>0</v>
      </c>
      <c r="N52" s="357">
        <v>0</v>
      </c>
      <c r="O52" s="357">
        <v>0</v>
      </c>
      <c r="P52" s="357">
        <v>0</v>
      </c>
      <c r="Q52" s="357">
        <v>0</v>
      </c>
      <c r="R52" s="357">
        <v>0</v>
      </c>
      <c r="S52" s="357">
        <v>0</v>
      </c>
      <c r="T52" s="357">
        <v>0</v>
      </c>
      <c r="U52" s="357">
        <v>0</v>
      </c>
      <c r="V52" s="357">
        <v>0</v>
      </c>
    </row>
    <row r="53" spans="1:22" ht="9" hidden="1" customHeight="1">
      <c r="A53" s="358">
        <v>35</v>
      </c>
      <c r="B53" s="361" t="s">
        <v>144</v>
      </c>
      <c r="C53" s="361" t="s">
        <v>997</v>
      </c>
      <c r="D53" s="361"/>
      <c r="E53" s="357">
        <f t="shared" si="2"/>
        <v>2950917.31</v>
      </c>
      <c r="F53" s="357">
        <v>0</v>
      </c>
      <c r="G53" s="359">
        <v>0</v>
      </c>
      <c r="H53" s="357">
        <v>0</v>
      </c>
      <c r="I53" s="357">
        <v>898.57</v>
      </c>
      <c r="J53" s="356" t="s">
        <v>108</v>
      </c>
      <c r="K53" s="358">
        <f t="shared" si="3"/>
        <v>2022.07</v>
      </c>
      <c r="L53" s="357">
        <v>2950917.31</v>
      </c>
      <c r="M53" s="357">
        <v>0</v>
      </c>
      <c r="N53" s="357">
        <v>0</v>
      </c>
      <c r="O53" s="357">
        <v>0</v>
      </c>
      <c r="P53" s="357">
        <v>0</v>
      </c>
      <c r="Q53" s="357">
        <v>0</v>
      </c>
      <c r="R53" s="357">
        <v>0</v>
      </c>
      <c r="S53" s="357">
        <v>0</v>
      </c>
      <c r="T53" s="357">
        <v>0</v>
      </c>
      <c r="U53" s="357">
        <v>0</v>
      </c>
      <c r="V53" s="357">
        <v>0</v>
      </c>
    </row>
    <row r="54" spans="1:22" s="335" customFormat="1" ht="9" hidden="1" customHeight="1">
      <c r="A54" s="358">
        <v>36</v>
      </c>
      <c r="B54" s="361" t="s">
        <v>145</v>
      </c>
      <c r="C54" s="361" t="s">
        <v>998</v>
      </c>
      <c r="D54" s="361"/>
      <c r="E54" s="357">
        <f t="shared" si="2"/>
        <v>2075612.19</v>
      </c>
      <c r="F54" s="357">
        <v>0</v>
      </c>
      <c r="G54" s="359">
        <v>0</v>
      </c>
      <c r="H54" s="357">
        <v>0</v>
      </c>
      <c r="I54" s="357">
        <v>846.2</v>
      </c>
      <c r="J54" s="356" t="s">
        <v>109</v>
      </c>
      <c r="K54" s="358">
        <f t="shared" si="3"/>
        <v>3438.05</v>
      </c>
      <c r="L54" s="357">
        <v>2075612.19</v>
      </c>
      <c r="M54" s="357">
        <v>0</v>
      </c>
      <c r="N54" s="357">
        <v>0</v>
      </c>
      <c r="O54" s="357">
        <v>0</v>
      </c>
      <c r="P54" s="357">
        <v>0</v>
      </c>
      <c r="Q54" s="357">
        <v>0</v>
      </c>
      <c r="R54" s="357">
        <v>0</v>
      </c>
      <c r="S54" s="357">
        <v>0</v>
      </c>
      <c r="T54" s="357">
        <v>0</v>
      </c>
      <c r="U54" s="357">
        <v>0</v>
      </c>
      <c r="V54" s="357">
        <v>0</v>
      </c>
    </row>
    <row r="55" spans="1:22" ht="9" hidden="1" customHeight="1">
      <c r="A55" s="358">
        <v>37</v>
      </c>
      <c r="B55" s="361" t="s">
        <v>146</v>
      </c>
      <c r="C55" s="361" t="s">
        <v>997</v>
      </c>
      <c r="D55" s="361"/>
      <c r="E55" s="357">
        <f t="shared" si="2"/>
        <v>1775203.61</v>
      </c>
      <c r="F55" s="357">
        <v>0</v>
      </c>
      <c r="G55" s="359">
        <v>0</v>
      </c>
      <c r="H55" s="357">
        <v>0</v>
      </c>
      <c r="I55" s="357">
        <v>852</v>
      </c>
      <c r="J55" s="356" t="s">
        <v>108</v>
      </c>
      <c r="K55" s="358">
        <f t="shared" si="3"/>
        <v>2022.07</v>
      </c>
      <c r="L55" s="357">
        <v>1775203.61</v>
      </c>
      <c r="M55" s="357">
        <v>0</v>
      </c>
      <c r="N55" s="357">
        <v>0</v>
      </c>
      <c r="O55" s="357">
        <v>0</v>
      </c>
      <c r="P55" s="357">
        <v>0</v>
      </c>
      <c r="Q55" s="357">
        <v>0</v>
      </c>
      <c r="R55" s="357">
        <v>0</v>
      </c>
      <c r="S55" s="357">
        <v>0</v>
      </c>
      <c r="T55" s="357">
        <v>0</v>
      </c>
      <c r="U55" s="357">
        <v>0</v>
      </c>
      <c r="V55" s="357">
        <v>0</v>
      </c>
    </row>
    <row r="56" spans="1:22" s="335" customFormat="1" ht="9" hidden="1" customHeight="1">
      <c r="A56" s="358">
        <v>38</v>
      </c>
      <c r="B56" s="361" t="s">
        <v>147</v>
      </c>
      <c r="C56" s="361" t="s">
        <v>998</v>
      </c>
      <c r="D56" s="361"/>
      <c r="E56" s="357">
        <f t="shared" si="2"/>
        <v>3298574.61</v>
      </c>
      <c r="F56" s="357">
        <v>0</v>
      </c>
      <c r="G56" s="359">
        <v>0</v>
      </c>
      <c r="H56" s="357">
        <v>0</v>
      </c>
      <c r="I56" s="357">
        <v>1057.5</v>
      </c>
      <c r="J56" s="356" t="s">
        <v>109</v>
      </c>
      <c r="K56" s="358">
        <f t="shared" si="3"/>
        <v>3438.05</v>
      </c>
      <c r="L56" s="357">
        <v>3298574.61</v>
      </c>
      <c r="M56" s="357">
        <v>0</v>
      </c>
      <c r="N56" s="357">
        <v>0</v>
      </c>
      <c r="O56" s="357">
        <v>0</v>
      </c>
      <c r="P56" s="357">
        <v>0</v>
      </c>
      <c r="Q56" s="357">
        <v>0</v>
      </c>
      <c r="R56" s="357">
        <v>0</v>
      </c>
      <c r="S56" s="357">
        <v>0</v>
      </c>
      <c r="T56" s="357">
        <v>0</v>
      </c>
      <c r="U56" s="357">
        <v>0</v>
      </c>
      <c r="V56" s="357">
        <v>0</v>
      </c>
    </row>
    <row r="57" spans="1:22" ht="9" hidden="1" customHeight="1">
      <c r="A57" s="358">
        <v>39</v>
      </c>
      <c r="B57" s="361" t="s">
        <v>209</v>
      </c>
      <c r="C57" s="361" t="s">
        <v>997</v>
      </c>
      <c r="D57" s="361"/>
      <c r="E57" s="357">
        <f t="shared" si="2"/>
        <v>2902118.73</v>
      </c>
      <c r="F57" s="357">
        <v>0</v>
      </c>
      <c r="G57" s="359">
        <v>0</v>
      </c>
      <c r="H57" s="357">
        <v>0</v>
      </c>
      <c r="I57" s="357">
        <v>954</v>
      </c>
      <c r="J57" s="356" t="s">
        <v>109</v>
      </c>
      <c r="K57" s="358">
        <f t="shared" si="3"/>
        <v>3438.05</v>
      </c>
      <c r="L57" s="357">
        <v>2902118.73</v>
      </c>
      <c r="M57" s="357">
        <v>0</v>
      </c>
      <c r="N57" s="357">
        <v>0</v>
      </c>
      <c r="O57" s="357">
        <v>0</v>
      </c>
      <c r="P57" s="357">
        <v>0</v>
      </c>
      <c r="Q57" s="357">
        <v>0</v>
      </c>
      <c r="R57" s="357">
        <v>0</v>
      </c>
      <c r="S57" s="357">
        <v>0</v>
      </c>
      <c r="T57" s="357">
        <v>0</v>
      </c>
      <c r="U57" s="357">
        <v>0</v>
      </c>
      <c r="V57" s="357">
        <v>0</v>
      </c>
    </row>
    <row r="58" spans="1:22" ht="9" hidden="1" customHeight="1">
      <c r="A58" s="358">
        <v>40</v>
      </c>
      <c r="B58" s="361" t="s">
        <v>148</v>
      </c>
      <c r="C58" s="361" t="s">
        <v>997</v>
      </c>
      <c r="D58" s="361"/>
      <c r="E58" s="357">
        <f t="shared" si="2"/>
        <v>4897921.6100000003</v>
      </c>
      <c r="F58" s="357">
        <v>0</v>
      </c>
      <c r="G58" s="359">
        <v>0</v>
      </c>
      <c r="H58" s="357">
        <v>0</v>
      </c>
      <c r="I58" s="357">
        <v>1651.7</v>
      </c>
      <c r="J58" s="356" t="s">
        <v>108</v>
      </c>
      <c r="K58" s="358">
        <f t="shared" si="3"/>
        <v>2022.07</v>
      </c>
      <c r="L58" s="357">
        <v>4897921.6100000003</v>
      </c>
      <c r="M58" s="357">
        <v>0</v>
      </c>
      <c r="N58" s="357">
        <v>0</v>
      </c>
      <c r="O58" s="357">
        <v>0</v>
      </c>
      <c r="P58" s="357">
        <v>0</v>
      </c>
      <c r="Q58" s="357">
        <v>0</v>
      </c>
      <c r="R58" s="357">
        <v>0</v>
      </c>
      <c r="S58" s="357">
        <v>0</v>
      </c>
      <c r="T58" s="357">
        <v>0</v>
      </c>
      <c r="U58" s="357">
        <v>0</v>
      </c>
      <c r="V58" s="357">
        <v>0</v>
      </c>
    </row>
    <row r="59" spans="1:22" ht="9" hidden="1" customHeight="1">
      <c r="A59" s="358">
        <v>41</v>
      </c>
      <c r="B59" s="361" t="s">
        <v>210</v>
      </c>
      <c r="C59" s="361" t="s">
        <v>997</v>
      </c>
      <c r="D59" s="361"/>
      <c r="E59" s="357">
        <f t="shared" si="2"/>
        <v>2307087.5499999998</v>
      </c>
      <c r="F59" s="357">
        <v>0</v>
      </c>
      <c r="G59" s="359">
        <v>0</v>
      </c>
      <c r="H59" s="357">
        <v>0</v>
      </c>
      <c r="I59" s="357">
        <v>929.4</v>
      </c>
      <c r="J59" s="364" t="s">
        <v>108</v>
      </c>
      <c r="K59" s="358">
        <f t="shared" si="3"/>
        <v>2022.07</v>
      </c>
      <c r="L59" s="357">
        <v>2307087.5499999998</v>
      </c>
      <c r="M59" s="357">
        <v>0</v>
      </c>
      <c r="N59" s="357">
        <v>0</v>
      </c>
      <c r="O59" s="357">
        <v>0</v>
      </c>
      <c r="P59" s="357">
        <v>0</v>
      </c>
      <c r="Q59" s="357">
        <v>0</v>
      </c>
      <c r="R59" s="357">
        <v>0</v>
      </c>
      <c r="S59" s="357">
        <v>0</v>
      </c>
      <c r="T59" s="357">
        <v>0</v>
      </c>
      <c r="U59" s="357">
        <v>0</v>
      </c>
      <c r="V59" s="357">
        <v>0</v>
      </c>
    </row>
    <row r="60" spans="1:22" ht="9" hidden="1" customHeight="1">
      <c r="A60" s="358">
        <v>42</v>
      </c>
      <c r="B60" s="361" t="s">
        <v>149</v>
      </c>
      <c r="C60" s="361" t="s">
        <v>997</v>
      </c>
      <c r="D60" s="361"/>
      <c r="E60" s="357">
        <f t="shared" si="2"/>
        <v>5834564.6200000001</v>
      </c>
      <c r="F60" s="357">
        <v>0</v>
      </c>
      <c r="G60" s="359">
        <v>0</v>
      </c>
      <c r="H60" s="357">
        <v>0</v>
      </c>
      <c r="I60" s="357">
        <v>1701</v>
      </c>
      <c r="J60" s="356" t="s">
        <v>108</v>
      </c>
      <c r="K60" s="358">
        <f t="shared" si="3"/>
        <v>2022.07</v>
      </c>
      <c r="L60" s="357">
        <v>5834564.6200000001</v>
      </c>
      <c r="M60" s="357">
        <v>0</v>
      </c>
      <c r="N60" s="357">
        <v>0</v>
      </c>
      <c r="O60" s="357">
        <v>0</v>
      </c>
      <c r="P60" s="357">
        <v>0</v>
      </c>
      <c r="Q60" s="357">
        <v>0</v>
      </c>
      <c r="R60" s="357">
        <v>0</v>
      </c>
      <c r="S60" s="357">
        <v>0</v>
      </c>
      <c r="T60" s="357">
        <v>0</v>
      </c>
      <c r="U60" s="357">
        <v>0</v>
      </c>
      <c r="V60" s="357">
        <v>0</v>
      </c>
    </row>
    <row r="61" spans="1:22" ht="9" hidden="1" customHeight="1">
      <c r="A61" s="358">
        <v>43</v>
      </c>
      <c r="B61" s="361" t="s">
        <v>211</v>
      </c>
      <c r="C61" s="361" t="s">
        <v>997</v>
      </c>
      <c r="D61" s="361"/>
      <c r="E61" s="357">
        <f t="shared" si="2"/>
        <v>4239724.47</v>
      </c>
      <c r="F61" s="357">
        <v>0</v>
      </c>
      <c r="G61" s="359">
        <v>0</v>
      </c>
      <c r="H61" s="357">
        <v>0</v>
      </c>
      <c r="I61" s="357">
        <v>1361</v>
      </c>
      <c r="J61" s="364" t="s">
        <v>108</v>
      </c>
      <c r="K61" s="358">
        <f t="shared" ref="K61:K117" si="4">IF(J61="плоская",2022.07,3438.05)</f>
        <v>2022.07</v>
      </c>
      <c r="L61" s="357">
        <v>4239724.47</v>
      </c>
      <c r="M61" s="357">
        <v>0</v>
      </c>
      <c r="N61" s="357">
        <v>0</v>
      </c>
      <c r="O61" s="357">
        <v>0</v>
      </c>
      <c r="P61" s="357">
        <v>0</v>
      </c>
      <c r="Q61" s="357">
        <v>0</v>
      </c>
      <c r="R61" s="357">
        <v>0</v>
      </c>
      <c r="S61" s="357">
        <v>0</v>
      </c>
      <c r="T61" s="357">
        <v>0</v>
      </c>
      <c r="U61" s="357">
        <v>0</v>
      </c>
      <c r="V61" s="357">
        <v>0</v>
      </c>
    </row>
    <row r="62" spans="1:22" s="335" customFormat="1" ht="9" hidden="1" customHeight="1">
      <c r="A62" s="358">
        <v>44</v>
      </c>
      <c r="B62" s="361" t="s">
        <v>212</v>
      </c>
      <c r="C62" s="361" t="s">
        <v>998</v>
      </c>
      <c r="D62" s="361"/>
      <c r="E62" s="357">
        <f t="shared" si="2"/>
        <v>2182726.66</v>
      </c>
      <c r="F62" s="357">
        <v>0</v>
      </c>
      <c r="G62" s="359">
        <v>0</v>
      </c>
      <c r="H62" s="357">
        <v>0</v>
      </c>
      <c r="I62" s="357">
        <v>702.6</v>
      </c>
      <c r="J62" s="364" t="s">
        <v>109</v>
      </c>
      <c r="K62" s="358">
        <f t="shared" si="4"/>
        <v>3438.05</v>
      </c>
      <c r="L62" s="357">
        <v>2182726.66</v>
      </c>
      <c r="M62" s="357">
        <v>0</v>
      </c>
      <c r="N62" s="357">
        <v>0</v>
      </c>
      <c r="O62" s="357">
        <v>0</v>
      </c>
      <c r="P62" s="357">
        <v>0</v>
      </c>
      <c r="Q62" s="357">
        <v>0</v>
      </c>
      <c r="R62" s="357">
        <v>0</v>
      </c>
      <c r="S62" s="357">
        <v>0</v>
      </c>
      <c r="T62" s="357">
        <v>0</v>
      </c>
      <c r="U62" s="357">
        <v>0</v>
      </c>
      <c r="V62" s="357">
        <v>0</v>
      </c>
    </row>
    <row r="63" spans="1:22" ht="9" hidden="1" customHeight="1">
      <c r="A63" s="358">
        <v>45</v>
      </c>
      <c r="B63" s="361" t="s">
        <v>213</v>
      </c>
      <c r="C63" s="361" t="s">
        <v>997</v>
      </c>
      <c r="D63" s="361"/>
      <c r="E63" s="357">
        <f t="shared" si="2"/>
        <v>1862776.16</v>
      </c>
      <c r="F63" s="357">
        <v>0</v>
      </c>
      <c r="G63" s="359">
        <v>0</v>
      </c>
      <c r="H63" s="357">
        <v>0</v>
      </c>
      <c r="I63" s="357">
        <v>924</v>
      </c>
      <c r="J63" s="364" t="s">
        <v>108</v>
      </c>
      <c r="K63" s="358">
        <f t="shared" si="4"/>
        <v>2022.07</v>
      </c>
      <c r="L63" s="357">
        <v>1862776.16</v>
      </c>
      <c r="M63" s="357">
        <v>0</v>
      </c>
      <c r="N63" s="357">
        <v>0</v>
      </c>
      <c r="O63" s="357">
        <v>0</v>
      </c>
      <c r="P63" s="357">
        <v>0</v>
      </c>
      <c r="Q63" s="357">
        <v>0</v>
      </c>
      <c r="R63" s="357">
        <v>0</v>
      </c>
      <c r="S63" s="357">
        <v>0</v>
      </c>
      <c r="T63" s="357">
        <v>0</v>
      </c>
      <c r="U63" s="357">
        <v>0</v>
      </c>
      <c r="V63" s="357">
        <v>0</v>
      </c>
    </row>
    <row r="64" spans="1:22" ht="9" hidden="1" customHeight="1">
      <c r="A64" s="358">
        <v>46</v>
      </c>
      <c r="B64" s="361" t="s">
        <v>150</v>
      </c>
      <c r="C64" s="361" t="s">
        <v>997</v>
      </c>
      <c r="D64" s="361"/>
      <c r="E64" s="357">
        <f t="shared" si="2"/>
        <v>1857863.91</v>
      </c>
      <c r="F64" s="357">
        <v>0</v>
      </c>
      <c r="G64" s="359">
        <v>0</v>
      </c>
      <c r="H64" s="357">
        <v>0</v>
      </c>
      <c r="I64" s="357">
        <v>791.5</v>
      </c>
      <c r="J64" s="356" t="s">
        <v>108</v>
      </c>
      <c r="K64" s="358">
        <f t="shared" si="4"/>
        <v>2022.07</v>
      </c>
      <c r="L64" s="357">
        <v>1857863.91</v>
      </c>
      <c r="M64" s="357">
        <v>0</v>
      </c>
      <c r="N64" s="357">
        <v>0</v>
      </c>
      <c r="O64" s="357">
        <v>0</v>
      </c>
      <c r="P64" s="357">
        <v>0</v>
      </c>
      <c r="Q64" s="357">
        <v>0</v>
      </c>
      <c r="R64" s="357">
        <v>0</v>
      </c>
      <c r="S64" s="357">
        <v>0</v>
      </c>
      <c r="T64" s="357">
        <v>0</v>
      </c>
      <c r="U64" s="357">
        <v>0</v>
      </c>
      <c r="V64" s="357">
        <v>0</v>
      </c>
    </row>
    <row r="65" spans="1:22" s="335" customFormat="1" ht="9" hidden="1" customHeight="1">
      <c r="A65" s="358">
        <v>47</v>
      </c>
      <c r="B65" s="361" t="s">
        <v>151</v>
      </c>
      <c r="C65" s="361" t="s">
        <v>998</v>
      </c>
      <c r="D65" s="361"/>
      <c r="E65" s="357">
        <f t="shared" si="2"/>
        <v>2286811.6</v>
      </c>
      <c r="F65" s="357">
        <v>0</v>
      </c>
      <c r="G65" s="359">
        <v>0</v>
      </c>
      <c r="H65" s="357">
        <v>0</v>
      </c>
      <c r="I65" s="357">
        <v>857.6</v>
      </c>
      <c r="J65" s="356" t="s">
        <v>109</v>
      </c>
      <c r="K65" s="358">
        <f t="shared" si="4"/>
        <v>3438.05</v>
      </c>
      <c r="L65" s="357">
        <v>2286811.6</v>
      </c>
      <c r="M65" s="357">
        <v>0</v>
      </c>
      <c r="N65" s="357">
        <v>0</v>
      </c>
      <c r="O65" s="357">
        <v>0</v>
      </c>
      <c r="P65" s="357">
        <v>0</v>
      </c>
      <c r="Q65" s="357">
        <v>0</v>
      </c>
      <c r="R65" s="357">
        <v>0</v>
      </c>
      <c r="S65" s="357">
        <v>0</v>
      </c>
      <c r="T65" s="357">
        <v>0</v>
      </c>
      <c r="U65" s="357">
        <v>0</v>
      </c>
      <c r="V65" s="357">
        <v>0</v>
      </c>
    </row>
    <row r="66" spans="1:22" s="335" customFormat="1" ht="9" hidden="1" customHeight="1">
      <c r="A66" s="358">
        <v>48</v>
      </c>
      <c r="B66" s="361" t="s">
        <v>152</v>
      </c>
      <c r="C66" s="361" t="s">
        <v>998</v>
      </c>
      <c r="D66" s="361"/>
      <c r="E66" s="357">
        <f t="shared" si="2"/>
        <v>1647360.66</v>
      </c>
      <c r="F66" s="357">
        <v>0</v>
      </c>
      <c r="G66" s="359">
        <v>0</v>
      </c>
      <c r="H66" s="357">
        <v>0</v>
      </c>
      <c r="I66" s="357">
        <v>538</v>
      </c>
      <c r="J66" s="356" t="s">
        <v>109</v>
      </c>
      <c r="K66" s="358">
        <f t="shared" si="4"/>
        <v>3438.05</v>
      </c>
      <c r="L66" s="357">
        <v>1647360.66</v>
      </c>
      <c r="M66" s="357">
        <v>0</v>
      </c>
      <c r="N66" s="357">
        <v>0</v>
      </c>
      <c r="O66" s="357">
        <v>0</v>
      </c>
      <c r="P66" s="357">
        <v>0</v>
      </c>
      <c r="Q66" s="357">
        <v>0</v>
      </c>
      <c r="R66" s="357">
        <v>0</v>
      </c>
      <c r="S66" s="357">
        <v>0</v>
      </c>
      <c r="T66" s="357">
        <v>0</v>
      </c>
      <c r="U66" s="357">
        <v>0</v>
      </c>
      <c r="V66" s="357">
        <v>0</v>
      </c>
    </row>
    <row r="67" spans="1:22" s="335" customFormat="1" ht="9" hidden="1" customHeight="1">
      <c r="A67" s="358">
        <v>49</v>
      </c>
      <c r="B67" s="361" t="s">
        <v>153</v>
      </c>
      <c r="C67" s="361" t="s">
        <v>997</v>
      </c>
      <c r="D67" s="361"/>
      <c r="E67" s="357">
        <f t="shared" si="2"/>
        <v>5274301.0999999996</v>
      </c>
      <c r="F67" s="357">
        <v>0</v>
      </c>
      <c r="G67" s="359">
        <v>0</v>
      </c>
      <c r="H67" s="357">
        <v>0</v>
      </c>
      <c r="I67" s="357">
        <v>1861.6</v>
      </c>
      <c r="J67" s="356" t="s">
        <v>108</v>
      </c>
      <c r="K67" s="358">
        <f t="shared" si="4"/>
        <v>2022.07</v>
      </c>
      <c r="L67" s="357">
        <v>5274301.0999999996</v>
      </c>
      <c r="M67" s="357">
        <v>0</v>
      </c>
      <c r="N67" s="357">
        <v>0</v>
      </c>
      <c r="O67" s="357">
        <v>0</v>
      </c>
      <c r="P67" s="357">
        <v>0</v>
      </c>
      <c r="Q67" s="357">
        <v>0</v>
      </c>
      <c r="R67" s="357">
        <v>0</v>
      </c>
      <c r="S67" s="357">
        <v>0</v>
      </c>
      <c r="T67" s="357">
        <v>0</v>
      </c>
      <c r="U67" s="357">
        <v>0</v>
      </c>
      <c r="V67" s="357">
        <v>0</v>
      </c>
    </row>
    <row r="68" spans="1:22" ht="9" hidden="1" customHeight="1">
      <c r="A68" s="358">
        <v>50</v>
      </c>
      <c r="B68" s="361" t="s">
        <v>154</v>
      </c>
      <c r="C68" s="361" t="s">
        <v>997</v>
      </c>
      <c r="D68" s="361"/>
      <c r="E68" s="357">
        <f t="shared" ref="E68:E124" si="5">F68+H68+L68+N68+P68+R68+S68+T68+U68+V68</f>
        <v>4586954.66</v>
      </c>
      <c r="F68" s="357">
        <v>0</v>
      </c>
      <c r="G68" s="359">
        <v>0</v>
      </c>
      <c r="H68" s="357">
        <v>0</v>
      </c>
      <c r="I68" s="357">
        <v>1240</v>
      </c>
      <c r="J68" s="356" t="s">
        <v>108</v>
      </c>
      <c r="K68" s="358">
        <f t="shared" si="4"/>
        <v>2022.07</v>
      </c>
      <c r="L68" s="357">
        <v>4586954.66</v>
      </c>
      <c r="M68" s="357">
        <v>0</v>
      </c>
      <c r="N68" s="357">
        <v>0</v>
      </c>
      <c r="O68" s="357">
        <v>0</v>
      </c>
      <c r="P68" s="357">
        <v>0</v>
      </c>
      <c r="Q68" s="357">
        <v>0</v>
      </c>
      <c r="R68" s="357">
        <v>0</v>
      </c>
      <c r="S68" s="357">
        <v>0</v>
      </c>
      <c r="T68" s="357">
        <v>0</v>
      </c>
      <c r="U68" s="357">
        <v>0</v>
      </c>
      <c r="V68" s="357">
        <v>0</v>
      </c>
    </row>
    <row r="69" spans="1:22" ht="9" hidden="1" customHeight="1">
      <c r="A69" s="358">
        <v>51</v>
      </c>
      <c r="B69" s="361" t="s">
        <v>155</v>
      </c>
      <c r="C69" s="361" t="s">
        <v>997</v>
      </c>
      <c r="D69" s="361"/>
      <c r="E69" s="357">
        <f t="shared" si="5"/>
        <v>2976904.46</v>
      </c>
      <c r="F69" s="357">
        <v>0</v>
      </c>
      <c r="G69" s="359">
        <v>0</v>
      </c>
      <c r="H69" s="357">
        <v>0</v>
      </c>
      <c r="I69" s="357">
        <v>862.97</v>
      </c>
      <c r="J69" s="356" t="s">
        <v>108</v>
      </c>
      <c r="K69" s="358">
        <f t="shared" si="4"/>
        <v>2022.07</v>
      </c>
      <c r="L69" s="357">
        <v>2976904.46</v>
      </c>
      <c r="M69" s="357">
        <v>0</v>
      </c>
      <c r="N69" s="357">
        <v>0</v>
      </c>
      <c r="O69" s="357">
        <v>0</v>
      </c>
      <c r="P69" s="357">
        <v>0</v>
      </c>
      <c r="Q69" s="357">
        <v>0</v>
      </c>
      <c r="R69" s="357">
        <v>0</v>
      </c>
      <c r="S69" s="357">
        <v>0</v>
      </c>
      <c r="T69" s="357">
        <v>0</v>
      </c>
      <c r="U69" s="357">
        <v>0</v>
      </c>
      <c r="V69" s="357">
        <v>0</v>
      </c>
    </row>
    <row r="70" spans="1:22" ht="9" hidden="1" customHeight="1">
      <c r="A70" s="358">
        <v>52</v>
      </c>
      <c r="B70" s="361" t="s">
        <v>156</v>
      </c>
      <c r="C70" s="361" t="s">
        <v>997</v>
      </c>
      <c r="D70" s="361"/>
      <c r="E70" s="357">
        <f t="shared" si="5"/>
        <v>1204026.3600000001</v>
      </c>
      <c r="F70" s="357">
        <v>0</v>
      </c>
      <c r="G70" s="359">
        <v>0</v>
      </c>
      <c r="H70" s="357">
        <v>0</v>
      </c>
      <c r="I70" s="357">
        <v>497</v>
      </c>
      <c r="J70" s="356" t="s">
        <v>108</v>
      </c>
      <c r="K70" s="358">
        <f t="shared" si="4"/>
        <v>2022.07</v>
      </c>
      <c r="L70" s="357">
        <v>1204026.3600000001</v>
      </c>
      <c r="M70" s="357">
        <v>0</v>
      </c>
      <c r="N70" s="357">
        <v>0</v>
      </c>
      <c r="O70" s="357">
        <v>0</v>
      </c>
      <c r="P70" s="357">
        <v>0</v>
      </c>
      <c r="Q70" s="357">
        <v>0</v>
      </c>
      <c r="R70" s="357">
        <v>0</v>
      </c>
      <c r="S70" s="357">
        <v>0</v>
      </c>
      <c r="T70" s="357">
        <v>0</v>
      </c>
      <c r="U70" s="357">
        <v>0</v>
      </c>
      <c r="V70" s="357">
        <v>0</v>
      </c>
    </row>
    <row r="71" spans="1:22" s="335" customFormat="1" ht="9" hidden="1" customHeight="1">
      <c r="A71" s="358">
        <v>53</v>
      </c>
      <c r="B71" s="361" t="s">
        <v>157</v>
      </c>
      <c r="C71" s="361" t="s">
        <v>998</v>
      </c>
      <c r="D71" s="361"/>
      <c r="E71" s="357">
        <f t="shared" si="5"/>
        <v>1894629.02</v>
      </c>
      <c r="F71" s="357">
        <v>0</v>
      </c>
      <c r="G71" s="359">
        <v>0</v>
      </c>
      <c r="H71" s="357">
        <v>0</v>
      </c>
      <c r="I71" s="357">
        <v>549.29999999999995</v>
      </c>
      <c r="J71" s="356" t="s">
        <v>109</v>
      </c>
      <c r="K71" s="358">
        <f t="shared" si="4"/>
        <v>3438.05</v>
      </c>
      <c r="L71" s="357">
        <v>1894629.02</v>
      </c>
      <c r="M71" s="357">
        <v>0</v>
      </c>
      <c r="N71" s="357">
        <v>0</v>
      </c>
      <c r="O71" s="357">
        <v>0</v>
      </c>
      <c r="P71" s="357">
        <v>0</v>
      </c>
      <c r="Q71" s="357">
        <v>0</v>
      </c>
      <c r="R71" s="357">
        <v>0</v>
      </c>
      <c r="S71" s="357">
        <v>0</v>
      </c>
      <c r="T71" s="357">
        <v>0</v>
      </c>
      <c r="U71" s="357">
        <v>0</v>
      </c>
      <c r="V71" s="357">
        <v>0</v>
      </c>
    </row>
    <row r="72" spans="1:22" ht="9" hidden="1" customHeight="1">
      <c r="A72" s="358">
        <v>54</v>
      </c>
      <c r="B72" s="361" t="s">
        <v>158</v>
      </c>
      <c r="C72" s="361" t="s">
        <v>997</v>
      </c>
      <c r="D72" s="361"/>
      <c r="E72" s="357">
        <f t="shared" si="5"/>
        <v>1200062.53</v>
      </c>
      <c r="F72" s="357">
        <v>0</v>
      </c>
      <c r="G72" s="359">
        <v>0</v>
      </c>
      <c r="H72" s="357">
        <v>0</v>
      </c>
      <c r="I72" s="357">
        <v>439</v>
      </c>
      <c r="J72" s="356" t="s">
        <v>108</v>
      </c>
      <c r="K72" s="358">
        <f t="shared" si="4"/>
        <v>2022.07</v>
      </c>
      <c r="L72" s="357">
        <v>1200062.53</v>
      </c>
      <c r="M72" s="357">
        <v>0</v>
      </c>
      <c r="N72" s="357">
        <v>0</v>
      </c>
      <c r="O72" s="357">
        <v>0</v>
      </c>
      <c r="P72" s="357">
        <v>0</v>
      </c>
      <c r="Q72" s="357">
        <v>0</v>
      </c>
      <c r="R72" s="357">
        <v>0</v>
      </c>
      <c r="S72" s="357">
        <v>0</v>
      </c>
      <c r="T72" s="357">
        <v>0</v>
      </c>
      <c r="U72" s="357">
        <v>0</v>
      </c>
      <c r="V72" s="357">
        <v>0</v>
      </c>
    </row>
    <row r="73" spans="1:22" ht="9" hidden="1" customHeight="1">
      <c r="A73" s="358">
        <v>55</v>
      </c>
      <c r="B73" s="361" t="s">
        <v>159</v>
      </c>
      <c r="C73" s="361" t="s">
        <v>997</v>
      </c>
      <c r="D73" s="361"/>
      <c r="E73" s="357">
        <f t="shared" si="5"/>
        <v>3061197.6</v>
      </c>
      <c r="F73" s="357">
        <v>0</v>
      </c>
      <c r="G73" s="359">
        <v>0</v>
      </c>
      <c r="H73" s="357">
        <v>0</v>
      </c>
      <c r="I73" s="357">
        <v>1265</v>
      </c>
      <c r="J73" s="356" t="s">
        <v>108</v>
      </c>
      <c r="K73" s="358">
        <f t="shared" si="4"/>
        <v>2022.07</v>
      </c>
      <c r="L73" s="357">
        <v>3061197.6</v>
      </c>
      <c r="M73" s="357">
        <v>0</v>
      </c>
      <c r="N73" s="357">
        <v>0</v>
      </c>
      <c r="O73" s="357">
        <v>0</v>
      </c>
      <c r="P73" s="357">
        <v>0</v>
      </c>
      <c r="Q73" s="357">
        <v>0</v>
      </c>
      <c r="R73" s="357">
        <v>0</v>
      </c>
      <c r="S73" s="357">
        <v>0</v>
      </c>
      <c r="T73" s="357">
        <v>0</v>
      </c>
      <c r="U73" s="357">
        <v>0</v>
      </c>
      <c r="V73" s="357">
        <v>0</v>
      </c>
    </row>
    <row r="74" spans="1:22" s="335" customFormat="1" ht="9" hidden="1" customHeight="1">
      <c r="A74" s="358">
        <v>56</v>
      </c>
      <c r="B74" s="361" t="s">
        <v>160</v>
      </c>
      <c r="C74" s="361" t="s">
        <v>997</v>
      </c>
      <c r="D74" s="361"/>
      <c r="E74" s="357">
        <f>F74+H74+L74+N74+P74+R74+S74+T74+U74+V74</f>
        <v>1966795.3299999998</v>
      </c>
      <c r="F74" s="357">
        <v>1773745.7399999998</v>
      </c>
      <c r="G74" s="359">
        <v>0</v>
      </c>
      <c r="H74" s="357">
        <v>0</v>
      </c>
      <c r="I74" s="357">
        <v>0</v>
      </c>
      <c r="J74" s="356" t="s">
        <v>108</v>
      </c>
      <c r="K74" s="358">
        <f t="shared" si="4"/>
        <v>2022.07</v>
      </c>
      <c r="L74" s="357">
        <v>0</v>
      </c>
      <c r="M74" s="357">
        <v>0</v>
      </c>
      <c r="N74" s="357">
        <v>0</v>
      </c>
      <c r="O74" s="357">
        <v>0</v>
      </c>
      <c r="P74" s="357">
        <v>0</v>
      </c>
      <c r="Q74" s="357">
        <v>0</v>
      </c>
      <c r="R74" s="357">
        <v>0</v>
      </c>
      <c r="S74" s="357">
        <v>0</v>
      </c>
      <c r="T74" s="357">
        <v>0</v>
      </c>
      <c r="U74" s="357">
        <v>193049.59000000003</v>
      </c>
      <c r="V74" s="357">
        <v>0</v>
      </c>
    </row>
    <row r="75" spans="1:22" ht="9" hidden="1" customHeight="1">
      <c r="A75" s="358">
        <v>57</v>
      </c>
      <c r="B75" s="361" t="s">
        <v>415</v>
      </c>
      <c r="C75" s="361" t="s">
        <v>997</v>
      </c>
      <c r="D75" s="361"/>
      <c r="E75" s="357">
        <f t="shared" si="5"/>
        <v>2624889.88</v>
      </c>
      <c r="F75" s="357">
        <v>0</v>
      </c>
      <c r="G75" s="359">
        <v>0</v>
      </c>
      <c r="H75" s="357">
        <v>0</v>
      </c>
      <c r="I75" s="357">
        <v>970.42</v>
      </c>
      <c r="J75" s="356" t="s">
        <v>108</v>
      </c>
      <c r="K75" s="365">
        <f>3672155+13230.35+39414.15</f>
        <v>3724799.5</v>
      </c>
      <c r="L75" s="357">
        <v>2624889.88</v>
      </c>
      <c r="M75" s="357">
        <v>0</v>
      </c>
      <c r="N75" s="357">
        <v>0</v>
      </c>
      <c r="O75" s="357">
        <v>0</v>
      </c>
      <c r="P75" s="357">
        <v>0</v>
      </c>
      <c r="Q75" s="357">
        <v>0</v>
      </c>
      <c r="R75" s="357">
        <v>0</v>
      </c>
      <c r="S75" s="357">
        <v>0</v>
      </c>
      <c r="T75" s="357">
        <v>0</v>
      </c>
      <c r="U75" s="357">
        <v>0</v>
      </c>
      <c r="V75" s="357">
        <v>0</v>
      </c>
    </row>
    <row r="76" spans="1:22" ht="9" hidden="1" customHeight="1">
      <c r="A76" s="358">
        <v>58</v>
      </c>
      <c r="B76" s="361" t="s">
        <v>414</v>
      </c>
      <c r="C76" s="361" t="s">
        <v>997</v>
      </c>
      <c r="D76" s="361"/>
      <c r="E76" s="357">
        <f t="shared" si="5"/>
        <v>2747312.93</v>
      </c>
      <c r="F76" s="357">
        <v>0</v>
      </c>
      <c r="G76" s="359">
        <v>0</v>
      </c>
      <c r="H76" s="357">
        <v>0</v>
      </c>
      <c r="I76" s="357">
        <v>969.03</v>
      </c>
      <c r="J76" s="356" t="s">
        <v>108</v>
      </c>
      <c r="K76" s="365">
        <f>3672155+13039.4+39414.15</f>
        <v>3724608.55</v>
      </c>
      <c r="L76" s="357">
        <v>2747312.93</v>
      </c>
      <c r="M76" s="357">
        <v>0</v>
      </c>
      <c r="N76" s="357">
        <v>0</v>
      </c>
      <c r="O76" s="357">
        <v>0</v>
      </c>
      <c r="P76" s="357">
        <v>0</v>
      </c>
      <c r="Q76" s="357">
        <v>0</v>
      </c>
      <c r="R76" s="357">
        <v>0</v>
      </c>
      <c r="S76" s="357">
        <v>0</v>
      </c>
      <c r="T76" s="357">
        <v>0</v>
      </c>
      <c r="U76" s="357">
        <v>0</v>
      </c>
      <c r="V76" s="357">
        <v>0</v>
      </c>
    </row>
    <row r="77" spans="1:22" ht="9" hidden="1" customHeight="1">
      <c r="A77" s="358">
        <v>59</v>
      </c>
      <c r="B77" s="361" t="s">
        <v>413</v>
      </c>
      <c r="C77" s="361" t="s">
        <v>997</v>
      </c>
      <c r="D77" s="361"/>
      <c r="E77" s="357">
        <f t="shared" si="5"/>
        <v>2607514.44</v>
      </c>
      <c r="F77" s="357">
        <v>0</v>
      </c>
      <c r="G77" s="359">
        <v>0</v>
      </c>
      <c r="H77" s="357">
        <v>0</v>
      </c>
      <c r="I77" s="357">
        <v>965</v>
      </c>
      <c r="J77" s="356" t="s">
        <v>108</v>
      </c>
      <c r="K77" s="365">
        <f>3630307+13284.91+39414.15</f>
        <v>3683006.06</v>
      </c>
      <c r="L77" s="357">
        <v>2607514.44</v>
      </c>
      <c r="M77" s="357">
        <v>0</v>
      </c>
      <c r="N77" s="357">
        <v>0</v>
      </c>
      <c r="O77" s="357">
        <v>0</v>
      </c>
      <c r="P77" s="357">
        <v>0</v>
      </c>
      <c r="Q77" s="357">
        <v>0</v>
      </c>
      <c r="R77" s="357">
        <v>0</v>
      </c>
      <c r="S77" s="357">
        <v>0</v>
      </c>
      <c r="T77" s="357">
        <v>0</v>
      </c>
      <c r="U77" s="357">
        <v>0</v>
      </c>
      <c r="V77" s="357">
        <v>0</v>
      </c>
    </row>
    <row r="78" spans="1:22" ht="9" hidden="1" customHeight="1">
      <c r="A78" s="358">
        <v>60</v>
      </c>
      <c r="B78" s="361" t="s">
        <v>161</v>
      </c>
      <c r="C78" s="361" t="s">
        <v>1000</v>
      </c>
      <c r="D78" s="361"/>
      <c r="E78" s="357">
        <f t="shared" si="5"/>
        <v>3046446.62</v>
      </c>
      <c r="F78" s="357">
        <v>3026435.1</v>
      </c>
      <c r="G78" s="359">
        <v>0</v>
      </c>
      <c r="H78" s="357">
        <v>0</v>
      </c>
      <c r="I78" s="357">
        <v>0</v>
      </c>
      <c r="J78" s="356" t="s">
        <v>456</v>
      </c>
      <c r="K78" s="366">
        <f>(198.55+1107.7+271.7)*'Приложение 1'!K75</f>
        <v>1989794.95</v>
      </c>
      <c r="L78" s="357">
        <f t="shared" ref="L78" si="6">ROUND(K78*I78,2)</f>
        <v>0</v>
      </c>
      <c r="M78" s="357">
        <v>0</v>
      </c>
      <c r="N78" s="357">
        <v>0</v>
      </c>
      <c r="O78" s="357">
        <v>0</v>
      </c>
      <c r="P78" s="357">
        <v>0</v>
      </c>
      <c r="Q78" s="357">
        <v>0</v>
      </c>
      <c r="R78" s="357">
        <v>0</v>
      </c>
      <c r="S78" s="357">
        <v>0</v>
      </c>
      <c r="T78" s="357">
        <v>0</v>
      </c>
      <c r="U78" s="357">
        <v>20011.52</v>
      </c>
      <c r="V78" s="357">
        <v>0</v>
      </c>
    </row>
    <row r="79" spans="1:22" ht="9" hidden="1" customHeight="1">
      <c r="A79" s="358">
        <v>61</v>
      </c>
      <c r="B79" s="361" t="s">
        <v>162</v>
      </c>
      <c r="C79" s="361" t="s">
        <v>998</v>
      </c>
      <c r="D79" s="361"/>
      <c r="E79" s="357">
        <f t="shared" si="5"/>
        <v>2374615.48</v>
      </c>
      <c r="F79" s="357">
        <v>0</v>
      </c>
      <c r="G79" s="359">
        <v>0</v>
      </c>
      <c r="H79" s="357">
        <v>0</v>
      </c>
      <c r="I79" s="357">
        <v>746.2</v>
      </c>
      <c r="J79" s="356" t="s">
        <v>109</v>
      </c>
      <c r="K79" s="358">
        <f t="shared" si="4"/>
        <v>3438.05</v>
      </c>
      <c r="L79" s="357">
        <v>2374615.48</v>
      </c>
      <c r="M79" s="357">
        <v>0</v>
      </c>
      <c r="N79" s="357">
        <v>0</v>
      </c>
      <c r="O79" s="357">
        <v>0</v>
      </c>
      <c r="P79" s="357">
        <v>0</v>
      </c>
      <c r="Q79" s="357">
        <v>0</v>
      </c>
      <c r="R79" s="357">
        <v>0</v>
      </c>
      <c r="S79" s="357">
        <v>0</v>
      </c>
      <c r="T79" s="357">
        <v>0</v>
      </c>
      <c r="U79" s="357">
        <v>0</v>
      </c>
      <c r="V79" s="357">
        <v>0</v>
      </c>
    </row>
    <row r="80" spans="1:22" s="335" customFormat="1" ht="9" hidden="1" customHeight="1">
      <c r="A80" s="358">
        <v>62</v>
      </c>
      <c r="B80" s="361" t="s">
        <v>163</v>
      </c>
      <c r="C80" s="361" t="s">
        <v>1000</v>
      </c>
      <c r="D80" s="361"/>
      <c r="E80" s="357">
        <f>F80+H80+L80+N80+P80+R80+S80+T80+U80+V80</f>
        <v>3243961.2199999997</v>
      </c>
      <c r="F80" s="357">
        <v>3030285.67</v>
      </c>
      <c r="G80" s="359">
        <v>0</v>
      </c>
      <c r="H80" s="357">
        <v>0</v>
      </c>
      <c r="I80" s="357">
        <v>0</v>
      </c>
      <c r="J80" s="356"/>
      <c r="K80" s="358"/>
      <c r="L80" s="357">
        <f>I80*K80</f>
        <v>0</v>
      </c>
      <c r="M80" s="357">
        <v>0</v>
      </c>
      <c r="N80" s="357">
        <v>0</v>
      </c>
      <c r="O80" s="357">
        <v>0</v>
      </c>
      <c r="P80" s="357">
        <v>0</v>
      </c>
      <c r="Q80" s="357">
        <v>0</v>
      </c>
      <c r="R80" s="357">
        <v>0</v>
      </c>
      <c r="S80" s="357">
        <v>0</v>
      </c>
      <c r="T80" s="357">
        <v>0</v>
      </c>
      <c r="U80" s="357">
        <v>213675.55</v>
      </c>
      <c r="V80" s="357">
        <v>0</v>
      </c>
    </row>
    <row r="81" spans="1:22" ht="9" hidden="1" customHeight="1">
      <c r="A81" s="358">
        <v>63</v>
      </c>
      <c r="B81" s="361" t="s">
        <v>164</v>
      </c>
      <c r="C81" s="361" t="s">
        <v>997</v>
      </c>
      <c r="D81" s="361"/>
      <c r="E81" s="357">
        <f t="shared" si="5"/>
        <v>2561975.35</v>
      </c>
      <c r="F81" s="357">
        <v>0</v>
      </c>
      <c r="G81" s="359">
        <v>0</v>
      </c>
      <c r="H81" s="357">
        <v>0</v>
      </c>
      <c r="I81" s="357">
        <v>928.7</v>
      </c>
      <c r="J81" s="356" t="s">
        <v>108</v>
      </c>
      <c r="K81" s="358">
        <f t="shared" si="4"/>
        <v>2022.07</v>
      </c>
      <c r="L81" s="357">
        <v>2561975.35</v>
      </c>
      <c r="M81" s="357">
        <v>0</v>
      </c>
      <c r="N81" s="357">
        <v>0</v>
      </c>
      <c r="O81" s="357">
        <v>0</v>
      </c>
      <c r="P81" s="357">
        <v>0</v>
      </c>
      <c r="Q81" s="357">
        <v>0</v>
      </c>
      <c r="R81" s="357">
        <v>0</v>
      </c>
      <c r="S81" s="357">
        <v>0</v>
      </c>
      <c r="T81" s="357">
        <v>0</v>
      </c>
      <c r="U81" s="357">
        <v>0</v>
      </c>
      <c r="V81" s="357">
        <v>0</v>
      </c>
    </row>
    <row r="82" spans="1:22" ht="9" hidden="1" customHeight="1">
      <c r="A82" s="358">
        <v>64</v>
      </c>
      <c r="B82" s="361" t="s">
        <v>165</v>
      </c>
      <c r="C82" s="361" t="s">
        <v>997</v>
      </c>
      <c r="D82" s="361"/>
      <c r="E82" s="357">
        <f t="shared" si="5"/>
        <v>3028641.67</v>
      </c>
      <c r="F82" s="357">
        <v>0</v>
      </c>
      <c r="G82" s="359">
        <v>0</v>
      </c>
      <c r="H82" s="357">
        <v>0</v>
      </c>
      <c r="I82" s="357">
        <v>1219</v>
      </c>
      <c r="J82" s="356" t="s">
        <v>108</v>
      </c>
      <c r="K82" s="358">
        <f t="shared" si="4"/>
        <v>2022.07</v>
      </c>
      <c r="L82" s="357">
        <v>3028641.67</v>
      </c>
      <c r="M82" s="357">
        <v>0</v>
      </c>
      <c r="N82" s="357">
        <v>0</v>
      </c>
      <c r="O82" s="357">
        <v>0</v>
      </c>
      <c r="P82" s="357">
        <v>0</v>
      </c>
      <c r="Q82" s="357">
        <v>0</v>
      </c>
      <c r="R82" s="357">
        <v>0</v>
      </c>
      <c r="S82" s="357">
        <v>0</v>
      </c>
      <c r="T82" s="357">
        <v>0</v>
      </c>
      <c r="U82" s="357">
        <v>0</v>
      </c>
      <c r="V82" s="357">
        <v>0</v>
      </c>
    </row>
    <row r="83" spans="1:22" ht="9" hidden="1" customHeight="1">
      <c r="A83" s="358">
        <v>65</v>
      </c>
      <c r="B83" s="361" t="s">
        <v>166</v>
      </c>
      <c r="C83" s="361" t="s">
        <v>997</v>
      </c>
      <c r="D83" s="361"/>
      <c r="E83" s="357">
        <f t="shared" si="5"/>
        <v>2320425.7799999998</v>
      </c>
      <c r="F83" s="357">
        <v>0</v>
      </c>
      <c r="G83" s="359">
        <v>0</v>
      </c>
      <c r="H83" s="357">
        <v>0</v>
      </c>
      <c r="I83" s="357">
        <v>829.16</v>
      </c>
      <c r="J83" s="356" t="s">
        <v>108</v>
      </c>
      <c r="K83" s="358">
        <f t="shared" si="4"/>
        <v>2022.07</v>
      </c>
      <c r="L83" s="357">
        <v>2320425.7799999998</v>
      </c>
      <c r="M83" s="357">
        <v>0</v>
      </c>
      <c r="N83" s="357">
        <v>0</v>
      </c>
      <c r="O83" s="357">
        <v>0</v>
      </c>
      <c r="P83" s="357">
        <v>0</v>
      </c>
      <c r="Q83" s="357">
        <v>0</v>
      </c>
      <c r="R83" s="357">
        <v>0</v>
      </c>
      <c r="S83" s="357">
        <v>0</v>
      </c>
      <c r="T83" s="357">
        <v>0</v>
      </c>
      <c r="U83" s="357">
        <v>0</v>
      </c>
      <c r="V83" s="357">
        <v>0</v>
      </c>
    </row>
    <row r="84" spans="1:22" s="335" customFormat="1" ht="9" hidden="1" customHeight="1">
      <c r="A84" s="358">
        <v>66</v>
      </c>
      <c r="B84" s="361" t="s">
        <v>167</v>
      </c>
      <c r="C84" s="361" t="s">
        <v>998</v>
      </c>
      <c r="D84" s="361"/>
      <c r="E84" s="357">
        <f t="shared" si="5"/>
        <v>1581769.89</v>
      </c>
      <c r="F84" s="357">
        <v>0</v>
      </c>
      <c r="G84" s="359">
        <v>0</v>
      </c>
      <c r="H84" s="357">
        <v>0</v>
      </c>
      <c r="I84" s="357">
        <v>533.78</v>
      </c>
      <c r="J84" s="356" t="s">
        <v>109</v>
      </c>
      <c r="K84" s="358">
        <f t="shared" si="4"/>
        <v>3438.05</v>
      </c>
      <c r="L84" s="357">
        <v>1581769.89</v>
      </c>
      <c r="M84" s="357">
        <v>0</v>
      </c>
      <c r="N84" s="357">
        <v>0</v>
      </c>
      <c r="O84" s="357">
        <v>0</v>
      </c>
      <c r="P84" s="357">
        <v>0</v>
      </c>
      <c r="Q84" s="357">
        <v>0</v>
      </c>
      <c r="R84" s="357">
        <v>0</v>
      </c>
      <c r="S84" s="357">
        <v>0</v>
      </c>
      <c r="T84" s="357">
        <v>0</v>
      </c>
      <c r="U84" s="357">
        <v>0</v>
      </c>
      <c r="V84" s="357">
        <v>0</v>
      </c>
    </row>
    <row r="85" spans="1:22" ht="9" hidden="1" customHeight="1">
      <c r="A85" s="358">
        <v>67</v>
      </c>
      <c r="B85" s="361" t="s">
        <v>168</v>
      </c>
      <c r="C85" s="361" t="s">
        <v>998</v>
      </c>
      <c r="D85" s="361"/>
      <c r="E85" s="357">
        <f t="shared" si="5"/>
        <v>2442918.9900000002</v>
      </c>
      <c r="F85" s="357">
        <v>0</v>
      </c>
      <c r="G85" s="359">
        <v>0</v>
      </c>
      <c r="H85" s="357">
        <v>0</v>
      </c>
      <c r="I85" s="357">
        <v>735</v>
      </c>
      <c r="J85" s="356" t="s">
        <v>109</v>
      </c>
      <c r="K85" s="358">
        <f t="shared" si="4"/>
        <v>3438.05</v>
      </c>
      <c r="L85" s="357">
        <v>2442918.9900000002</v>
      </c>
      <c r="M85" s="357">
        <v>0</v>
      </c>
      <c r="N85" s="357">
        <v>0</v>
      </c>
      <c r="O85" s="357">
        <v>0</v>
      </c>
      <c r="P85" s="357">
        <v>0</v>
      </c>
      <c r="Q85" s="357">
        <v>0</v>
      </c>
      <c r="R85" s="357">
        <v>0</v>
      </c>
      <c r="S85" s="357">
        <v>0</v>
      </c>
      <c r="T85" s="357">
        <v>0</v>
      </c>
      <c r="U85" s="357">
        <v>0</v>
      </c>
      <c r="V85" s="357">
        <v>0</v>
      </c>
    </row>
    <row r="86" spans="1:22" ht="9" hidden="1" customHeight="1">
      <c r="A86" s="358">
        <v>68</v>
      </c>
      <c r="B86" s="361" t="s">
        <v>169</v>
      </c>
      <c r="C86" s="361" t="s">
        <v>997</v>
      </c>
      <c r="D86" s="361"/>
      <c r="E86" s="357">
        <f t="shared" si="5"/>
        <v>1364257.25</v>
      </c>
      <c r="F86" s="357">
        <v>0</v>
      </c>
      <c r="G86" s="359">
        <v>0</v>
      </c>
      <c r="H86" s="357">
        <v>0</v>
      </c>
      <c r="I86" s="357">
        <v>488.06</v>
      </c>
      <c r="J86" s="356" t="s">
        <v>108</v>
      </c>
      <c r="K86" s="358">
        <f t="shared" si="4"/>
        <v>2022.07</v>
      </c>
      <c r="L86" s="357">
        <v>1364257.25</v>
      </c>
      <c r="M86" s="357">
        <v>0</v>
      </c>
      <c r="N86" s="357">
        <v>0</v>
      </c>
      <c r="O86" s="357">
        <v>0</v>
      </c>
      <c r="P86" s="357">
        <v>0</v>
      </c>
      <c r="Q86" s="357">
        <v>0</v>
      </c>
      <c r="R86" s="357">
        <v>0</v>
      </c>
      <c r="S86" s="357">
        <v>0</v>
      </c>
      <c r="T86" s="357">
        <v>0</v>
      </c>
      <c r="U86" s="357">
        <v>0</v>
      </c>
      <c r="V86" s="357">
        <v>0</v>
      </c>
    </row>
    <row r="87" spans="1:22" ht="9" hidden="1" customHeight="1">
      <c r="A87" s="358">
        <v>69</v>
      </c>
      <c r="B87" s="361" t="s">
        <v>170</v>
      </c>
      <c r="C87" s="361" t="s">
        <v>998</v>
      </c>
      <c r="D87" s="361"/>
      <c r="E87" s="357">
        <f t="shared" si="5"/>
        <v>3827798.52</v>
      </c>
      <c r="F87" s="357">
        <v>0</v>
      </c>
      <c r="G87" s="359">
        <v>0</v>
      </c>
      <c r="H87" s="357">
        <v>0</v>
      </c>
      <c r="I87" s="357">
        <v>1054</v>
      </c>
      <c r="J87" s="356" t="s">
        <v>109</v>
      </c>
      <c r="K87" s="358">
        <f t="shared" si="4"/>
        <v>3438.05</v>
      </c>
      <c r="L87" s="357">
        <v>3827798.52</v>
      </c>
      <c r="M87" s="357">
        <v>0</v>
      </c>
      <c r="N87" s="357">
        <v>0</v>
      </c>
      <c r="O87" s="357">
        <v>0</v>
      </c>
      <c r="P87" s="357">
        <v>0</v>
      </c>
      <c r="Q87" s="357">
        <v>0</v>
      </c>
      <c r="R87" s="357">
        <v>0</v>
      </c>
      <c r="S87" s="357">
        <v>0</v>
      </c>
      <c r="T87" s="357">
        <v>0</v>
      </c>
      <c r="U87" s="357">
        <v>0</v>
      </c>
      <c r="V87" s="357">
        <v>0</v>
      </c>
    </row>
    <row r="88" spans="1:22" ht="9" hidden="1" customHeight="1">
      <c r="A88" s="358">
        <v>70</v>
      </c>
      <c r="B88" s="361" t="s">
        <v>171</v>
      </c>
      <c r="C88" s="361" t="s">
        <v>998</v>
      </c>
      <c r="D88" s="367"/>
      <c r="E88" s="357">
        <f t="shared" si="5"/>
        <v>2020205.08</v>
      </c>
      <c r="F88" s="357">
        <v>0</v>
      </c>
      <c r="G88" s="359">
        <v>0</v>
      </c>
      <c r="H88" s="357">
        <v>0</v>
      </c>
      <c r="I88" s="357">
        <v>551.83000000000004</v>
      </c>
      <c r="J88" s="363" t="s">
        <v>109</v>
      </c>
      <c r="K88" s="358">
        <f t="shared" si="4"/>
        <v>3438.05</v>
      </c>
      <c r="L88" s="357">
        <v>2020205.08</v>
      </c>
      <c r="M88" s="357">
        <v>0</v>
      </c>
      <c r="N88" s="357">
        <v>0</v>
      </c>
      <c r="O88" s="357">
        <v>0</v>
      </c>
      <c r="P88" s="357">
        <v>0</v>
      </c>
      <c r="Q88" s="357">
        <v>0</v>
      </c>
      <c r="R88" s="357">
        <v>0</v>
      </c>
      <c r="S88" s="357">
        <v>0</v>
      </c>
      <c r="T88" s="357">
        <v>0</v>
      </c>
      <c r="U88" s="357">
        <v>0</v>
      </c>
      <c r="V88" s="357">
        <v>0</v>
      </c>
    </row>
    <row r="89" spans="1:22" s="335" customFormat="1" ht="9" hidden="1" customHeight="1">
      <c r="A89" s="358">
        <v>71</v>
      </c>
      <c r="B89" s="361" t="s">
        <v>172</v>
      </c>
      <c r="C89" s="361" t="s">
        <v>1000</v>
      </c>
      <c r="D89" s="367"/>
      <c r="E89" s="357">
        <f>F89+H89+L89+N89+P89+R89+S89+T89+U89+V89</f>
        <v>8338444.04</v>
      </c>
      <c r="F89" s="357">
        <v>8122894.1399999997</v>
      </c>
      <c r="G89" s="359">
        <v>0</v>
      </c>
      <c r="H89" s="357">
        <v>0</v>
      </c>
      <c r="I89" s="357">
        <v>0</v>
      </c>
      <c r="J89" s="356"/>
      <c r="K89" s="358"/>
      <c r="L89" s="357">
        <f>I89*K89</f>
        <v>0</v>
      </c>
      <c r="M89" s="357">
        <v>0</v>
      </c>
      <c r="N89" s="357">
        <v>0</v>
      </c>
      <c r="O89" s="357">
        <v>0</v>
      </c>
      <c r="P89" s="357">
        <v>0</v>
      </c>
      <c r="Q89" s="357">
        <v>0</v>
      </c>
      <c r="R89" s="357">
        <v>0</v>
      </c>
      <c r="S89" s="357">
        <v>0</v>
      </c>
      <c r="T89" s="357">
        <v>0</v>
      </c>
      <c r="U89" s="357">
        <v>215549.9</v>
      </c>
      <c r="V89" s="357">
        <v>0</v>
      </c>
    </row>
    <row r="90" spans="1:22" ht="9" hidden="1" customHeight="1">
      <c r="A90" s="358">
        <v>72</v>
      </c>
      <c r="B90" s="361" t="s">
        <v>173</v>
      </c>
      <c r="C90" s="361" t="s">
        <v>998</v>
      </c>
      <c r="D90" s="367"/>
      <c r="E90" s="357">
        <f t="shared" si="5"/>
        <v>1827393.07</v>
      </c>
      <c r="F90" s="357">
        <v>0</v>
      </c>
      <c r="G90" s="359">
        <v>0</v>
      </c>
      <c r="H90" s="357">
        <v>0</v>
      </c>
      <c r="I90" s="357">
        <v>586.70000000000005</v>
      </c>
      <c r="J90" s="363" t="s">
        <v>109</v>
      </c>
      <c r="K90" s="358">
        <f t="shared" si="4"/>
        <v>3438.05</v>
      </c>
      <c r="L90" s="357">
        <v>1827393.07</v>
      </c>
      <c r="M90" s="357">
        <v>0</v>
      </c>
      <c r="N90" s="357">
        <v>0</v>
      </c>
      <c r="O90" s="357">
        <v>0</v>
      </c>
      <c r="P90" s="357">
        <v>0</v>
      </c>
      <c r="Q90" s="357">
        <v>0</v>
      </c>
      <c r="R90" s="357">
        <v>0</v>
      </c>
      <c r="S90" s="357">
        <v>0</v>
      </c>
      <c r="T90" s="357">
        <v>0</v>
      </c>
      <c r="U90" s="357">
        <v>0</v>
      </c>
      <c r="V90" s="357">
        <v>0</v>
      </c>
    </row>
    <row r="91" spans="1:22" ht="9" hidden="1" customHeight="1">
      <c r="A91" s="358">
        <v>73</v>
      </c>
      <c r="B91" s="361" t="s">
        <v>174</v>
      </c>
      <c r="C91" s="361" t="s">
        <v>998</v>
      </c>
      <c r="D91" s="367"/>
      <c r="E91" s="357">
        <f t="shared" si="5"/>
        <v>2130482.73</v>
      </c>
      <c r="F91" s="357">
        <v>0</v>
      </c>
      <c r="G91" s="359">
        <v>0</v>
      </c>
      <c r="H91" s="357">
        <v>0</v>
      </c>
      <c r="I91" s="357">
        <v>620</v>
      </c>
      <c r="J91" s="363" t="s">
        <v>109</v>
      </c>
      <c r="K91" s="358">
        <f t="shared" si="4"/>
        <v>3438.05</v>
      </c>
      <c r="L91" s="357">
        <v>2130482.73</v>
      </c>
      <c r="M91" s="357">
        <v>0</v>
      </c>
      <c r="N91" s="357">
        <v>0</v>
      </c>
      <c r="O91" s="357">
        <v>0</v>
      </c>
      <c r="P91" s="357">
        <v>0</v>
      </c>
      <c r="Q91" s="357">
        <v>0</v>
      </c>
      <c r="R91" s="357">
        <v>0</v>
      </c>
      <c r="S91" s="357">
        <v>0</v>
      </c>
      <c r="T91" s="357">
        <v>0</v>
      </c>
      <c r="U91" s="357">
        <v>0</v>
      </c>
      <c r="V91" s="357">
        <v>0</v>
      </c>
    </row>
    <row r="92" spans="1:22" ht="9" hidden="1" customHeight="1">
      <c r="A92" s="358">
        <v>74</v>
      </c>
      <c r="B92" s="361" t="s">
        <v>175</v>
      </c>
      <c r="C92" s="361" t="s">
        <v>997</v>
      </c>
      <c r="D92" s="367"/>
      <c r="E92" s="357">
        <f t="shared" si="5"/>
        <v>2151018.02</v>
      </c>
      <c r="F92" s="357">
        <v>0</v>
      </c>
      <c r="G92" s="359">
        <v>0</v>
      </c>
      <c r="H92" s="357">
        <v>0</v>
      </c>
      <c r="I92" s="357">
        <v>730</v>
      </c>
      <c r="J92" s="363" t="s">
        <v>108</v>
      </c>
      <c r="K92" s="358">
        <f t="shared" si="4"/>
        <v>2022.07</v>
      </c>
      <c r="L92" s="357">
        <v>2151018.02</v>
      </c>
      <c r="M92" s="357">
        <v>0</v>
      </c>
      <c r="N92" s="357">
        <v>0</v>
      </c>
      <c r="O92" s="357">
        <v>0</v>
      </c>
      <c r="P92" s="357">
        <v>0</v>
      </c>
      <c r="Q92" s="357">
        <v>0</v>
      </c>
      <c r="R92" s="357">
        <v>0</v>
      </c>
      <c r="S92" s="357">
        <v>0</v>
      </c>
      <c r="T92" s="357">
        <v>0</v>
      </c>
      <c r="U92" s="357">
        <v>0</v>
      </c>
      <c r="V92" s="357">
        <v>0</v>
      </c>
    </row>
    <row r="93" spans="1:22" ht="9" hidden="1" customHeight="1">
      <c r="A93" s="358">
        <v>75</v>
      </c>
      <c r="B93" s="361" t="s">
        <v>176</v>
      </c>
      <c r="C93" s="361" t="s">
        <v>997</v>
      </c>
      <c r="D93" s="367"/>
      <c r="E93" s="357">
        <f t="shared" si="5"/>
        <v>3115364.86</v>
      </c>
      <c r="F93" s="357">
        <v>0</v>
      </c>
      <c r="G93" s="359">
        <v>0</v>
      </c>
      <c r="H93" s="357">
        <v>0</v>
      </c>
      <c r="I93" s="357">
        <v>886</v>
      </c>
      <c r="J93" s="356" t="s">
        <v>108</v>
      </c>
      <c r="K93" s="358">
        <f t="shared" si="4"/>
        <v>2022.07</v>
      </c>
      <c r="L93" s="357">
        <v>3115364.86</v>
      </c>
      <c r="M93" s="357">
        <v>0</v>
      </c>
      <c r="N93" s="357">
        <v>0</v>
      </c>
      <c r="O93" s="357">
        <v>0</v>
      </c>
      <c r="P93" s="357">
        <v>0</v>
      </c>
      <c r="Q93" s="357">
        <v>0</v>
      </c>
      <c r="R93" s="357">
        <v>0</v>
      </c>
      <c r="S93" s="357">
        <v>0</v>
      </c>
      <c r="T93" s="357">
        <v>0</v>
      </c>
      <c r="U93" s="357">
        <v>0</v>
      </c>
      <c r="V93" s="357">
        <v>0</v>
      </c>
    </row>
    <row r="94" spans="1:22" ht="9" hidden="1" customHeight="1">
      <c r="A94" s="358">
        <v>76</v>
      </c>
      <c r="B94" s="361" t="s">
        <v>177</v>
      </c>
      <c r="C94" s="361" t="s">
        <v>997</v>
      </c>
      <c r="D94" s="367"/>
      <c r="E94" s="357">
        <f t="shared" si="5"/>
        <v>3010204.83</v>
      </c>
      <c r="F94" s="357">
        <v>0</v>
      </c>
      <c r="G94" s="359">
        <v>0</v>
      </c>
      <c r="H94" s="357">
        <v>0</v>
      </c>
      <c r="I94" s="357">
        <v>1068</v>
      </c>
      <c r="J94" s="363" t="s">
        <v>108</v>
      </c>
      <c r="K94" s="358">
        <f t="shared" si="4"/>
        <v>2022.07</v>
      </c>
      <c r="L94" s="357">
        <v>3010204.83</v>
      </c>
      <c r="M94" s="357">
        <v>0</v>
      </c>
      <c r="N94" s="357">
        <v>0</v>
      </c>
      <c r="O94" s="357">
        <v>0</v>
      </c>
      <c r="P94" s="357">
        <v>0</v>
      </c>
      <c r="Q94" s="357">
        <v>0</v>
      </c>
      <c r="R94" s="357">
        <v>0</v>
      </c>
      <c r="S94" s="357">
        <v>0</v>
      </c>
      <c r="T94" s="357">
        <v>0</v>
      </c>
      <c r="U94" s="357">
        <v>0</v>
      </c>
      <c r="V94" s="357">
        <v>0</v>
      </c>
    </row>
    <row r="95" spans="1:22" ht="9" hidden="1" customHeight="1">
      <c r="A95" s="358">
        <v>77</v>
      </c>
      <c r="B95" s="361" t="s">
        <v>178</v>
      </c>
      <c r="C95" s="361" t="s">
        <v>998</v>
      </c>
      <c r="D95" s="367"/>
      <c r="E95" s="357">
        <f t="shared" si="5"/>
        <v>1760498</v>
      </c>
      <c r="F95" s="357">
        <v>0</v>
      </c>
      <c r="G95" s="359">
        <v>0</v>
      </c>
      <c r="H95" s="357">
        <v>0</v>
      </c>
      <c r="I95" s="357">
        <v>533.9</v>
      </c>
      <c r="J95" s="363" t="s">
        <v>109</v>
      </c>
      <c r="K95" s="358">
        <f t="shared" si="4"/>
        <v>3438.05</v>
      </c>
      <c r="L95" s="357">
        <v>1760498</v>
      </c>
      <c r="M95" s="357">
        <v>0</v>
      </c>
      <c r="N95" s="357">
        <v>0</v>
      </c>
      <c r="O95" s="357">
        <v>0</v>
      </c>
      <c r="P95" s="357">
        <v>0</v>
      </c>
      <c r="Q95" s="357">
        <v>0</v>
      </c>
      <c r="R95" s="357">
        <v>0</v>
      </c>
      <c r="S95" s="357">
        <v>0</v>
      </c>
      <c r="T95" s="357">
        <v>0</v>
      </c>
      <c r="U95" s="357">
        <v>0</v>
      </c>
      <c r="V95" s="357">
        <v>0</v>
      </c>
    </row>
    <row r="96" spans="1:22" ht="9" hidden="1" customHeight="1">
      <c r="A96" s="358">
        <v>78</v>
      </c>
      <c r="B96" s="361" t="s">
        <v>179</v>
      </c>
      <c r="C96" s="361" t="s">
        <v>997</v>
      </c>
      <c r="D96" s="367"/>
      <c r="E96" s="357">
        <f t="shared" si="5"/>
        <v>782580.19</v>
      </c>
      <c r="F96" s="357">
        <v>0</v>
      </c>
      <c r="G96" s="359">
        <v>0</v>
      </c>
      <c r="H96" s="357">
        <v>0</v>
      </c>
      <c r="I96" s="357">
        <v>233</v>
      </c>
      <c r="J96" s="363" t="s">
        <v>108</v>
      </c>
      <c r="K96" s="358">
        <f t="shared" si="4"/>
        <v>2022.07</v>
      </c>
      <c r="L96" s="357">
        <v>782580.19</v>
      </c>
      <c r="M96" s="357">
        <v>0</v>
      </c>
      <c r="N96" s="357">
        <v>0</v>
      </c>
      <c r="O96" s="357">
        <v>0</v>
      </c>
      <c r="P96" s="357">
        <v>0</v>
      </c>
      <c r="Q96" s="357">
        <v>0</v>
      </c>
      <c r="R96" s="357">
        <v>0</v>
      </c>
      <c r="S96" s="357">
        <v>0</v>
      </c>
      <c r="T96" s="357">
        <v>0</v>
      </c>
      <c r="U96" s="357">
        <v>0</v>
      </c>
      <c r="V96" s="357">
        <v>0</v>
      </c>
    </row>
    <row r="97" spans="1:22" s="335" customFormat="1" ht="9" hidden="1" customHeight="1">
      <c r="A97" s="358">
        <v>79</v>
      </c>
      <c r="B97" s="361" t="s">
        <v>7</v>
      </c>
      <c r="C97" s="361" t="s">
        <v>997</v>
      </c>
      <c r="D97" s="367"/>
      <c r="E97" s="357">
        <f>F97+H97+L97+N97+P97+R97+S97+T97+U97+V97</f>
        <v>3084107.4</v>
      </c>
      <c r="F97" s="357">
        <v>0</v>
      </c>
      <c r="G97" s="359">
        <v>0</v>
      </c>
      <c r="H97" s="357">
        <v>0</v>
      </c>
      <c r="I97" s="357">
        <v>1507.6</v>
      </c>
      <c r="J97" s="363" t="s">
        <v>108</v>
      </c>
      <c r="K97" s="358">
        <f>IF(J97="плоская",2022.07,3438.05)</f>
        <v>2022.07</v>
      </c>
      <c r="L97" s="357">
        <v>3084107.4</v>
      </c>
      <c r="M97" s="357">
        <v>0</v>
      </c>
      <c r="N97" s="357">
        <v>0</v>
      </c>
      <c r="O97" s="357">
        <v>0</v>
      </c>
      <c r="P97" s="357">
        <v>0</v>
      </c>
      <c r="Q97" s="357">
        <v>0</v>
      </c>
      <c r="R97" s="357">
        <v>0</v>
      </c>
      <c r="S97" s="357">
        <v>0</v>
      </c>
      <c r="T97" s="357">
        <v>0</v>
      </c>
      <c r="U97" s="357">
        <v>0</v>
      </c>
      <c r="V97" s="357">
        <v>0</v>
      </c>
    </row>
    <row r="98" spans="1:22" ht="9" hidden="1" customHeight="1">
      <c r="A98" s="358">
        <v>80</v>
      </c>
      <c r="B98" s="361" t="s">
        <v>180</v>
      </c>
      <c r="C98" s="361" t="s">
        <v>998</v>
      </c>
      <c r="D98" s="367"/>
      <c r="E98" s="357">
        <f t="shared" si="5"/>
        <v>2223789.4500000002</v>
      </c>
      <c r="F98" s="357">
        <v>0</v>
      </c>
      <c r="G98" s="359">
        <v>0</v>
      </c>
      <c r="H98" s="357">
        <v>0</v>
      </c>
      <c r="I98" s="357">
        <v>611</v>
      </c>
      <c r="J98" s="363" t="s">
        <v>109</v>
      </c>
      <c r="K98" s="358">
        <f t="shared" si="4"/>
        <v>3438.05</v>
      </c>
      <c r="L98" s="357">
        <v>2223789.4500000002</v>
      </c>
      <c r="M98" s="357">
        <v>0</v>
      </c>
      <c r="N98" s="357">
        <v>0</v>
      </c>
      <c r="O98" s="357">
        <v>0</v>
      </c>
      <c r="P98" s="357">
        <v>0</v>
      </c>
      <c r="Q98" s="357">
        <v>0</v>
      </c>
      <c r="R98" s="357">
        <v>0</v>
      </c>
      <c r="S98" s="357">
        <v>0</v>
      </c>
      <c r="T98" s="357">
        <v>0</v>
      </c>
      <c r="U98" s="357">
        <v>0</v>
      </c>
      <c r="V98" s="357">
        <v>0</v>
      </c>
    </row>
    <row r="99" spans="1:22" s="335" customFormat="1" ht="9" hidden="1" customHeight="1">
      <c r="A99" s="358">
        <v>81</v>
      </c>
      <c r="B99" s="361" t="s">
        <v>181</v>
      </c>
      <c r="C99" s="361" t="s">
        <v>1000</v>
      </c>
      <c r="D99" s="367"/>
      <c r="E99" s="357">
        <f>F99+H99+L99+N99+P99+R99+S99+T99+U99+V99</f>
        <v>4919643.5200000005</v>
      </c>
      <c r="F99" s="357">
        <v>4273746.82</v>
      </c>
      <c r="G99" s="359">
        <v>0</v>
      </c>
      <c r="H99" s="357">
        <v>0</v>
      </c>
      <c r="I99" s="357">
        <v>0</v>
      </c>
      <c r="J99" s="363"/>
      <c r="K99" s="358"/>
      <c r="L99" s="357">
        <f>I99*K99</f>
        <v>0</v>
      </c>
      <c r="M99" s="357">
        <v>0</v>
      </c>
      <c r="N99" s="357">
        <v>0</v>
      </c>
      <c r="O99" s="357">
        <v>0</v>
      </c>
      <c r="P99" s="357">
        <v>0</v>
      </c>
      <c r="Q99" s="357">
        <v>0</v>
      </c>
      <c r="R99" s="357">
        <v>0</v>
      </c>
      <c r="S99" s="357">
        <v>0</v>
      </c>
      <c r="T99" s="357">
        <v>0</v>
      </c>
      <c r="U99" s="357">
        <v>645896.69999999995</v>
      </c>
      <c r="V99" s="357">
        <v>0</v>
      </c>
    </row>
    <row r="100" spans="1:22" ht="9" hidden="1" customHeight="1">
      <c r="A100" s="358">
        <v>82</v>
      </c>
      <c r="B100" s="361" t="s">
        <v>182</v>
      </c>
      <c r="C100" s="361" t="s">
        <v>997</v>
      </c>
      <c r="D100" s="367"/>
      <c r="E100" s="357">
        <f t="shared" si="5"/>
        <v>2271445.9900000002</v>
      </c>
      <c r="F100" s="357">
        <v>0</v>
      </c>
      <c r="G100" s="359">
        <v>0</v>
      </c>
      <c r="H100" s="357">
        <v>0</v>
      </c>
      <c r="I100" s="357">
        <v>622.16999999999996</v>
      </c>
      <c r="J100" s="363" t="s">
        <v>108</v>
      </c>
      <c r="K100" s="358">
        <f t="shared" si="4"/>
        <v>2022.07</v>
      </c>
      <c r="L100" s="357">
        <v>2271445.9900000002</v>
      </c>
      <c r="M100" s="357">
        <v>0</v>
      </c>
      <c r="N100" s="357">
        <v>0</v>
      </c>
      <c r="O100" s="357">
        <v>0</v>
      </c>
      <c r="P100" s="357">
        <v>0</v>
      </c>
      <c r="Q100" s="357">
        <v>0</v>
      </c>
      <c r="R100" s="357">
        <v>0</v>
      </c>
      <c r="S100" s="357">
        <v>0</v>
      </c>
      <c r="T100" s="357">
        <v>0</v>
      </c>
      <c r="U100" s="357">
        <v>0</v>
      </c>
      <c r="V100" s="357">
        <v>0</v>
      </c>
    </row>
    <row r="101" spans="1:22" ht="9" hidden="1" customHeight="1">
      <c r="A101" s="358">
        <v>83</v>
      </c>
      <c r="B101" s="361" t="s">
        <v>183</v>
      </c>
      <c r="C101" s="361" t="s">
        <v>997</v>
      </c>
      <c r="D101" s="367"/>
      <c r="E101" s="357">
        <f t="shared" si="5"/>
        <v>2838710.62</v>
      </c>
      <c r="F101" s="357">
        <v>0</v>
      </c>
      <c r="G101" s="359">
        <v>0</v>
      </c>
      <c r="H101" s="357">
        <v>0</v>
      </c>
      <c r="I101" s="357">
        <v>785</v>
      </c>
      <c r="J101" s="363" t="s">
        <v>108</v>
      </c>
      <c r="K101" s="358">
        <f t="shared" si="4"/>
        <v>2022.07</v>
      </c>
      <c r="L101" s="357">
        <v>2838710.62</v>
      </c>
      <c r="M101" s="357">
        <v>0</v>
      </c>
      <c r="N101" s="357">
        <v>0</v>
      </c>
      <c r="O101" s="357">
        <v>0</v>
      </c>
      <c r="P101" s="357">
        <v>0</v>
      </c>
      <c r="Q101" s="357">
        <v>0</v>
      </c>
      <c r="R101" s="357">
        <v>0</v>
      </c>
      <c r="S101" s="357">
        <v>0</v>
      </c>
      <c r="T101" s="357">
        <v>0</v>
      </c>
      <c r="U101" s="357">
        <v>0</v>
      </c>
      <c r="V101" s="357">
        <v>0</v>
      </c>
    </row>
    <row r="102" spans="1:22" ht="9" hidden="1" customHeight="1">
      <c r="A102" s="358">
        <v>84</v>
      </c>
      <c r="B102" s="361" t="s">
        <v>390</v>
      </c>
      <c r="C102" s="361" t="s">
        <v>997</v>
      </c>
      <c r="D102" s="367"/>
      <c r="E102" s="357">
        <f t="shared" si="5"/>
        <v>3213295.51</v>
      </c>
      <c r="F102" s="357">
        <v>0</v>
      </c>
      <c r="G102" s="359">
        <v>0</v>
      </c>
      <c r="H102" s="357">
        <v>0</v>
      </c>
      <c r="I102" s="357">
        <v>916.5</v>
      </c>
      <c r="J102" s="363" t="s">
        <v>214</v>
      </c>
      <c r="K102" s="358">
        <f t="shared" si="4"/>
        <v>2022.07</v>
      </c>
      <c r="L102" s="357">
        <v>3213295.51</v>
      </c>
      <c r="M102" s="357">
        <v>0</v>
      </c>
      <c r="N102" s="357">
        <v>0</v>
      </c>
      <c r="O102" s="357">
        <v>0</v>
      </c>
      <c r="P102" s="357">
        <v>0</v>
      </c>
      <c r="Q102" s="357">
        <v>0</v>
      </c>
      <c r="R102" s="357">
        <v>0</v>
      </c>
      <c r="S102" s="357">
        <v>0</v>
      </c>
      <c r="T102" s="357">
        <v>0</v>
      </c>
      <c r="U102" s="357">
        <v>0</v>
      </c>
      <c r="V102" s="357">
        <v>0</v>
      </c>
    </row>
    <row r="103" spans="1:22" ht="9" hidden="1" customHeight="1">
      <c r="A103" s="358">
        <v>85</v>
      </c>
      <c r="B103" s="361" t="s">
        <v>184</v>
      </c>
      <c r="C103" s="361" t="s">
        <v>997</v>
      </c>
      <c r="D103" s="367"/>
      <c r="E103" s="357">
        <f t="shared" si="5"/>
        <v>1227007.33</v>
      </c>
      <c r="F103" s="357">
        <v>0</v>
      </c>
      <c r="G103" s="359">
        <v>0</v>
      </c>
      <c r="H103" s="357">
        <v>0</v>
      </c>
      <c r="I103" s="357">
        <v>342.34</v>
      </c>
      <c r="J103" s="363" t="s">
        <v>108</v>
      </c>
      <c r="K103" s="358">
        <f t="shared" si="4"/>
        <v>2022.07</v>
      </c>
      <c r="L103" s="357">
        <v>1227007.33</v>
      </c>
      <c r="M103" s="357">
        <v>0</v>
      </c>
      <c r="N103" s="357">
        <v>0</v>
      </c>
      <c r="O103" s="357">
        <v>0</v>
      </c>
      <c r="P103" s="357">
        <v>0</v>
      </c>
      <c r="Q103" s="357">
        <v>0</v>
      </c>
      <c r="R103" s="357">
        <v>0</v>
      </c>
      <c r="S103" s="357">
        <v>0</v>
      </c>
      <c r="T103" s="357">
        <v>0</v>
      </c>
      <c r="U103" s="357">
        <v>0</v>
      </c>
      <c r="V103" s="357">
        <v>0</v>
      </c>
    </row>
    <row r="104" spans="1:22" ht="9" hidden="1" customHeight="1">
      <c r="A104" s="358">
        <v>86</v>
      </c>
      <c r="B104" s="361" t="s">
        <v>216</v>
      </c>
      <c r="C104" s="361" t="s">
        <v>1000</v>
      </c>
      <c r="D104" s="367"/>
      <c r="E104" s="357">
        <f t="shared" si="5"/>
        <v>1117783.42</v>
      </c>
      <c r="F104" s="357">
        <v>924826.37</v>
      </c>
      <c r="G104" s="359">
        <v>0</v>
      </c>
      <c r="H104" s="357">
        <v>0</v>
      </c>
      <c r="I104" s="357">
        <v>0</v>
      </c>
      <c r="J104" s="363"/>
      <c r="K104" s="358"/>
      <c r="L104" s="357">
        <v>0</v>
      </c>
      <c r="M104" s="357">
        <v>0</v>
      </c>
      <c r="N104" s="357">
        <v>0</v>
      </c>
      <c r="O104" s="357">
        <v>0</v>
      </c>
      <c r="P104" s="357">
        <v>0</v>
      </c>
      <c r="Q104" s="357">
        <v>0</v>
      </c>
      <c r="R104" s="357">
        <v>0</v>
      </c>
      <c r="S104" s="357">
        <v>0</v>
      </c>
      <c r="T104" s="357">
        <v>0</v>
      </c>
      <c r="U104" s="357">
        <v>192957.05</v>
      </c>
      <c r="V104" s="357">
        <v>0</v>
      </c>
    </row>
    <row r="105" spans="1:22" s="335" customFormat="1" ht="9" hidden="1" customHeight="1">
      <c r="A105" s="358">
        <v>87</v>
      </c>
      <c r="B105" s="361" t="s">
        <v>185</v>
      </c>
      <c r="C105" s="361" t="s">
        <v>998</v>
      </c>
      <c r="D105" s="367"/>
      <c r="E105" s="357">
        <f t="shared" si="5"/>
        <v>6881704.5800000001</v>
      </c>
      <c r="F105" s="357">
        <v>0</v>
      </c>
      <c r="G105" s="359">
        <v>0</v>
      </c>
      <c r="H105" s="357">
        <v>0</v>
      </c>
      <c r="I105" s="357">
        <v>2067.66</v>
      </c>
      <c r="J105" s="363" t="s">
        <v>109</v>
      </c>
      <c r="K105" s="358">
        <f t="shared" si="4"/>
        <v>3438.05</v>
      </c>
      <c r="L105" s="357">
        <v>6881704.5800000001</v>
      </c>
      <c r="M105" s="357">
        <v>0</v>
      </c>
      <c r="N105" s="357">
        <v>0</v>
      </c>
      <c r="O105" s="357">
        <v>0</v>
      </c>
      <c r="P105" s="357">
        <v>0</v>
      </c>
      <c r="Q105" s="357">
        <v>0</v>
      </c>
      <c r="R105" s="357">
        <v>0</v>
      </c>
      <c r="S105" s="357">
        <v>0</v>
      </c>
      <c r="T105" s="357">
        <v>0</v>
      </c>
      <c r="U105" s="357">
        <v>0</v>
      </c>
      <c r="V105" s="357">
        <v>0</v>
      </c>
    </row>
    <row r="106" spans="1:22" s="335" customFormat="1" ht="9" hidden="1" customHeight="1">
      <c r="A106" s="358">
        <v>88</v>
      </c>
      <c r="B106" s="361" t="s">
        <v>186</v>
      </c>
      <c r="C106" s="361" t="s">
        <v>998</v>
      </c>
      <c r="D106" s="367"/>
      <c r="E106" s="357">
        <f t="shared" si="5"/>
        <v>3022877.39</v>
      </c>
      <c r="F106" s="357">
        <v>0</v>
      </c>
      <c r="G106" s="359">
        <v>0</v>
      </c>
      <c r="H106" s="357">
        <v>0</v>
      </c>
      <c r="I106" s="357">
        <v>828.58</v>
      </c>
      <c r="J106" s="363" t="s">
        <v>109</v>
      </c>
      <c r="K106" s="358">
        <f t="shared" si="4"/>
        <v>3438.05</v>
      </c>
      <c r="L106" s="357">
        <v>3022877.39</v>
      </c>
      <c r="M106" s="357">
        <v>0</v>
      </c>
      <c r="N106" s="357">
        <v>0</v>
      </c>
      <c r="O106" s="357">
        <v>0</v>
      </c>
      <c r="P106" s="357">
        <v>0</v>
      </c>
      <c r="Q106" s="357">
        <v>0</v>
      </c>
      <c r="R106" s="357">
        <v>0</v>
      </c>
      <c r="S106" s="357">
        <v>0</v>
      </c>
      <c r="T106" s="357">
        <v>0</v>
      </c>
      <c r="U106" s="357">
        <v>0</v>
      </c>
      <c r="V106" s="357">
        <v>0</v>
      </c>
    </row>
    <row r="107" spans="1:22" ht="9" hidden="1" customHeight="1">
      <c r="A107" s="358">
        <v>89</v>
      </c>
      <c r="B107" s="361" t="s">
        <v>187</v>
      </c>
      <c r="C107" s="361" t="s">
        <v>998</v>
      </c>
      <c r="D107" s="367"/>
      <c r="E107" s="357">
        <f t="shared" si="5"/>
        <v>3409279.78</v>
      </c>
      <c r="F107" s="357">
        <v>0</v>
      </c>
      <c r="G107" s="359">
        <v>0</v>
      </c>
      <c r="H107" s="357">
        <v>0</v>
      </c>
      <c r="I107" s="357">
        <v>1099</v>
      </c>
      <c r="J107" s="363" t="s">
        <v>109</v>
      </c>
      <c r="K107" s="358">
        <f t="shared" si="4"/>
        <v>3438.05</v>
      </c>
      <c r="L107" s="357">
        <v>3409279.78</v>
      </c>
      <c r="M107" s="357">
        <v>0</v>
      </c>
      <c r="N107" s="357">
        <v>0</v>
      </c>
      <c r="O107" s="357">
        <v>0</v>
      </c>
      <c r="P107" s="357">
        <v>0</v>
      </c>
      <c r="Q107" s="357">
        <v>0</v>
      </c>
      <c r="R107" s="357">
        <v>0</v>
      </c>
      <c r="S107" s="357">
        <v>0</v>
      </c>
      <c r="T107" s="357">
        <v>0</v>
      </c>
      <c r="U107" s="357">
        <v>0</v>
      </c>
      <c r="V107" s="357">
        <v>0</v>
      </c>
    </row>
    <row r="108" spans="1:22" ht="9" hidden="1" customHeight="1">
      <c r="A108" s="358">
        <v>90</v>
      </c>
      <c r="B108" s="361" t="s">
        <v>188</v>
      </c>
      <c r="C108" s="361" t="s">
        <v>997</v>
      </c>
      <c r="D108" s="367"/>
      <c r="E108" s="357">
        <f t="shared" si="5"/>
        <v>3520956.94</v>
      </c>
      <c r="F108" s="357">
        <v>0</v>
      </c>
      <c r="G108" s="359">
        <v>0</v>
      </c>
      <c r="H108" s="357">
        <v>0</v>
      </c>
      <c r="I108" s="357">
        <v>1031</v>
      </c>
      <c r="J108" s="363" t="s">
        <v>108</v>
      </c>
      <c r="K108" s="358">
        <f t="shared" si="4"/>
        <v>2022.07</v>
      </c>
      <c r="L108" s="357">
        <v>3520956.94</v>
      </c>
      <c r="M108" s="357">
        <v>0</v>
      </c>
      <c r="N108" s="357">
        <v>0</v>
      </c>
      <c r="O108" s="357">
        <v>0</v>
      </c>
      <c r="P108" s="357">
        <v>0</v>
      </c>
      <c r="Q108" s="357">
        <v>0</v>
      </c>
      <c r="R108" s="357">
        <v>0</v>
      </c>
      <c r="S108" s="357">
        <v>0</v>
      </c>
      <c r="T108" s="357">
        <v>0</v>
      </c>
      <c r="U108" s="357">
        <v>0</v>
      </c>
      <c r="V108" s="357">
        <v>0</v>
      </c>
    </row>
    <row r="109" spans="1:22" ht="9" hidden="1" customHeight="1">
      <c r="A109" s="358">
        <v>91</v>
      </c>
      <c r="B109" s="361" t="s">
        <v>189</v>
      </c>
      <c r="C109" s="361" t="s">
        <v>998</v>
      </c>
      <c r="D109" s="367"/>
      <c r="E109" s="357">
        <f t="shared" si="5"/>
        <v>4171971.74</v>
      </c>
      <c r="F109" s="357">
        <v>0</v>
      </c>
      <c r="G109" s="359">
        <v>0</v>
      </c>
      <c r="H109" s="357">
        <v>0</v>
      </c>
      <c r="I109" s="357">
        <v>1468</v>
      </c>
      <c r="J109" s="363" t="s">
        <v>109</v>
      </c>
      <c r="K109" s="358">
        <f t="shared" si="4"/>
        <v>3438.05</v>
      </c>
      <c r="L109" s="357">
        <v>4171971.74</v>
      </c>
      <c r="M109" s="357">
        <v>0</v>
      </c>
      <c r="N109" s="357">
        <v>0</v>
      </c>
      <c r="O109" s="357">
        <v>0</v>
      </c>
      <c r="P109" s="357">
        <v>0</v>
      </c>
      <c r="Q109" s="357">
        <v>0</v>
      </c>
      <c r="R109" s="357">
        <v>0</v>
      </c>
      <c r="S109" s="357">
        <v>0</v>
      </c>
      <c r="T109" s="357">
        <v>0</v>
      </c>
      <c r="U109" s="357">
        <v>0</v>
      </c>
      <c r="V109" s="357">
        <v>0</v>
      </c>
    </row>
    <row r="110" spans="1:22" s="335" customFormat="1" ht="9" hidden="1" customHeight="1">
      <c r="A110" s="358">
        <v>92</v>
      </c>
      <c r="B110" s="361" t="s">
        <v>190</v>
      </c>
      <c r="C110" s="361" t="s">
        <v>998</v>
      </c>
      <c r="D110" s="367"/>
      <c r="E110" s="357">
        <f t="shared" si="5"/>
        <v>2491750.42</v>
      </c>
      <c r="F110" s="357">
        <v>0</v>
      </c>
      <c r="G110" s="359">
        <v>0</v>
      </c>
      <c r="H110" s="357">
        <v>0</v>
      </c>
      <c r="I110" s="357">
        <v>720.1</v>
      </c>
      <c r="J110" s="363" t="s">
        <v>109</v>
      </c>
      <c r="K110" s="358">
        <f t="shared" si="4"/>
        <v>3438.05</v>
      </c>
      <c r="L110" s="357">
        <v>2491750.42</v>
      </c>
      <c r="M110" s="357">
        <v>0</v>
      </c>
      <c r="N110" s="357">
        <v>0</v>
      </c>
      <c r="O110" s="357">
        <v>0</v>
      </c>
      <c r="P110" s="357">
        <v>0</v>
      </c>
      <c r="Q110" s="357">
        <v>0</v>
      </c>
      <c r="R110" s="357">
        <v>0</v>
      </c>
      <c r="S110" s="357">
        <v>0</v>
      </c>
      <c r="T110" s="357">
        <v>0</v>
      </c>
      <c r="U110" s="357">
        <v>0</v>
      </c>
      <c r="V110" s="357">
        <v>0</v>
      </c>
    </row>
    <row r="111" spans="1:22" ht="9" hidden="1" customHeight="1">
      <c r="A111" s="358">
        <v>93</v>
      </c>
      <c r="B111" s="361" t="s">
        <v>323</v>
      </c>
      <c r="C111" s="361" t="s">
        <v>997</v>
      </c>
      <c r="D111" s="367"/>
      <c r="E111" s="357">
        <f>F111+H111+L111+N111+P111+R111+S111+T111+U111+V111</f>
        <v>5381896.7199999997</v>
      </c>
      <c r="F111" s="357">
        <v>0</v>
      </c>
      <c r="G111" s="359">
        <v>0</v>
      </c>
      <c r="H111" s="357">
        <v>0</v>
      </c>
      <c r="I111" s="357">
        <v>1928.22</v>
      </c>
      <c r="J111" s="363" t="s">
        <v>108</v>
      </c>
      <c r="K111" s="358">
        <f>IF(J111="плоская",2022.07,3438.05)</f>
        <v>2022.07</v>
      </c>
      <c r="L111" s="357">
        <v>5381896.7199999997</v>
      </c>
      <c r="M111" s="357">
        <v>0</v>
      </c>
      <c r="N111" s="357">
        <v>0</v>
      </c>
      <c r="O111" s="357">
        <v>0</v>
      </c>
      <c r="P111" s="357">
        <v>0</v>
      </c>
      <c r="Q111" s="357">
        <v>0</v>
      </c>
      <c r="R111" s="357">
        <v>0</v>
      </c>
      <c r="S111" s="357">
        <v>0</v>
      </c>
      <c r="T111" s="357">
        <v>0</v>
      </c>
      <c r="U111" s="357">
        <v>0</v>
      </c>
      <c r="V111" s="357">
        <v>0</v>
      </c>
    </row>
    <row r="112" spans="1:22" ht="9" hidden="1" customHeight="1">
      <c r="A112" s="358">
        <v>94</v>
      </c>
      <c r="B112" s="361" t="s">
        <v>324</v>
      </c>
      <c r="C112" s="361" t="s">
        <v>997</v>
      </c>
      <c r="D112" s="367"/>
      <c r="E112" s="357">
        <f>F112+H112+L112+N112+P112+R112+S112+T112+U112+V112</f>
        <v>5868278.0899999999</v>
      </c>
      <c r="F112" s="357">
        <v>0</v>
      </c>
      <c r="G112" s="359">
        <v>0</v>
      </c>
      <c r="H112" s="357">
        <v>0</v>
      </c>
      <c r="I112" s="357">
        <v>1997</v>
      </c>
      <c r="J112" s="363" t="s">
        <v>108</v>
      </c>
      <c r="K112" s="358">
        <f>IF(J112="плоская",2022.07,3438.05)</f>
        <v>2022.07</v>
      </c>
      <c r="L112" s="357">
        <v>5868278.0899999999</v>
      </c>
      <c r="M112" s="357">
        <v>0</v>
      </c>
      <c r="N112" s="357">
        <v>0</v>
      </c>
      <c r="O112" s="357">
        <v>0</v>
      </c>
      <c r="P112" s="357">
        <v>0</v>
      </c>
      <c r="Q112" s="357">
        <v>0</v>
      </c>
      <c r="R112" s="357">
        <v>0</v>
      </c>
      <c r="S112" s="357">
        <v>0</v>
      </c>
      <c r="T112" s="357">
        <v>0</v>
      </c>
      <c r="U112" s="357">
        <v>0</v>
      </c>
      <c r="V112" s="357">
        <v>0</v>
      </c>
    </row>
    <row r="113" spans="1:22" ht="9" hidden="1" customHeight="1">
      <c r="A113" s="358">
        <v>95</v>
      </c>
      <c r="B113" s="361" t="s">
        <v>6</v>
      </c>
      <c r="C113" s="361" t="s">
        <v>997</v>
      </c>
      <c r="D113" s="367"/>
      <c r="E113" s="357">
        <f>F113+H113+L113+N113+P113+R113+S113+T113+U113+V113</f>
        <v>3342271.24</v>
      </c>
      <c r="F113" s="357">
        <v>0</v>
      </c>
      <c r="G113" s="359">
        <v>0</v>
      </c>
      <c r="H113" s="357">
        <v>0</v>
      </c>
      <c r="I113" s="357">
        <v>1110.08</v>
      </c>
      <c r="J113" s="363" t="s">
        <v>108</v>
      </c>
      <c r="K113" s="358">
        <f>IF(J113="плоская",2022.07,3438.05)</f>
        <v>2022.07</v>
      </c>
      <c r="L113" s="357">
        <v>3342271.24</v>
      </c>
      <c r="M113" s="357">
        <v>0</v>
      </c>
      <c r="N113" s="357">
        <v>0</v>
      </c>
      <c r="O113" s="357">
        <v>0</v>
      </c>
      <c r="P113" s="357">
        <v>0</v>
      </c>
      <c r="Q113" s="357">
        <v>0</v>
      </c>
      <c r="R113" s="357">
        <v>0</v>
      </c>
      <c r="S113" s="357">
        <v>0</v>
      </c>
      <c r="T113" s="357">
        <v>0</v>
      </c>
      <c r="U113" s="357">
        <v>0</v>
      </c>
      <c r="V113" s="357">
        <v>0</v>
      </c>
    </row>
    <row r="114" spans="1:22" ht="9" hidden="1" customHeight="1">
      <c r="A114" s="358">
        <v>96</v>
      </c>
      <c r="B114" s="361" t="s">
        <v>412</v>
      </c>
      <c r="C114" s="361" t="s">
        <v>998</v>
      </c>
      <c r="D114" s="367"/>
      <c r="E114" s="357">
        <f>F114+H114+L114+N114+P114+R114+S114+T114+U114+V114</f>
        <v>2680912.9900000002</v>
      </c>
      <c r="F114" s="357">
        <v>0</v>
      </c>
      <c r="G114" s="359">
        <v>0</v>
      </c>
      <c r="H114" s="357">
        <v>0</v>
      </c>
      <c r="I114" s="357">
        <v>787</v>
      </c>
      <c r="J114" s="363" t="s">
        <v>109</v>
      </c>
      <c r="K114" s="358">
        <f>IF(J114="плоская",2022.07,3438.05)</f>
        <v>3438.05</v>
      </c>
      <c r="L114" s="357">
        <v>2680912.9900000002</v>
      </c>
      <c r="M114" s="357">
        <v>0</v>
      </c>
      <c r="N114" s="357">
        <v>0</v>
      </c>
      <c r="O114" s="357">
        <v>0</v>
      </c>
      <c r="P114" s="357">
        <v>0</v>
      </c>
      <c r="Q114" s="357">
        <v>0</v>
      </c>
      <c r="R114" s="357">
        <v>0</v>
      </c>
      <c r="S114" s="357">
        <v>0</v>
      </c>
      <c r="T114" s="357">
        <v>0</v>
      </c>
      <c r="U114" s="357">
        <v>0</v>
      </c>
      <c r="V114" s="357">
        <v>0</v>
      </c>
    </row>
    <row r="115" spans="1:22" ht="9" hidden="1" customHeight="1">
      <c r="A115" s="358">
        <v>97</v>
      </c>
      <c r="B115" s="361" t="s">
        <v>191</v>
      </c>
      <c r="C115" s="361" t="s">
        <v>998</v>
      </c>
      <c r="D115" s="367"/>
      <c r="E115" s="357">
        <f t="shared" si="5"/>
        <v>1234829.32</v>
      </c>
      <c r="F115" s="357">
        <v>0</v>
      </c>
      <c r="G115" s="359">
        <v>0</v>
      </c>
      <c r="H115" s="357">
        <v>0</v>
      </c>
      <c r="I115" s="357">
        <v>430</v>
      </c>
      <c r="J115" s="363" t="s">
        <v>109</v>
      </c>
      <c r="K115" s="358">
        <f t="shared" si="4"/>
        <v>3438.05</v>
      </c>
      <c r="L115" s="357">
        <v>1234829.32</v>
      </c>
      <c r="M115" s="357">
        <v>0</v>
      </c>
      <c r="N115" s="357">
        <v>0</v>
      </c>
      <c r="O115" s="357">
        <v>0</v>
      </c>
      <c r="P115" s="357">
        <v>0</v>
      </c>
      <c r="Q115" s="357">
        <v>0</v>
      </c>
      <c r="R115" s="357">
        <v>0</v>
      </c>
      <c r="S115" s="357">
        <v>0</v>
      </c>
      <c r="T115" s="357">
        <v>0</v>
      </c>
      <c r="U115" s="357">
        <v>0</v>
      </c>
      <c r="V115" s="357">
        <v>0</v>
      </c>
    </row>
    <row r="116" spans="1:22" s="335" customFormat="1" ht="9" hidden="1" customHeight="1">
      <c r="A116" s="358">
        <v>98</v>
      </c>
      <c r="B116" s="361" t="s">
        <v>192</v>
      </c>
      <c r="C116" s="361" t="s">
        <v>998</v>
      </c>
      <c r="D116" s="367"/>
      <c r="E116" s="357">
        <f t="shared" si="5"/>
        <v>3538919.29</v>
      </c>
      <c r="F116" s="357">
        <v>0</v>
      </c>
      <c r="G116" s="359">
        <v>0</v>
      </c>
      <c r="H116" s="357">
        <v>0</v>
      </c>
      <c r="I116" s="357">
        <v>862.64</v>
      </c>
      <c r="J116" s="363" t="s">
        <v>109</v>
      </c>
      <c r="K116" s="358">
        <f t="shared" si="4"/>
        <v>3438.05</v>
      </c>
      <c r="L116" s="357">
        <v>3538919.29</v>
      </c>
      <c r="M116" s="357">
        <v>0</v>
      </c>
      <c r="N116" s="357">
        <v>0</v>
      </c>
      <c r="O116" s="357">
        <v>0</v>
      </c>
      <c r="P116" s="357">
        <v>0</v>
      </c>
      <c r="Q116" s="357">
        <v>0</v>
      </c>
      <c r="R116" s="357">
        <v>0</v>
      </c>
      <c r="S116" s="357">
        <v>0</v>
      </c>
      <c r="T116" s="357">
        <v>0</v>
      </c>
      <c r="U116" s="357">
        <v>0</v>
      </c>
      <c r="V116" s="357">
        <v>0</v>
      </c>
    </row>
    <row r="117" spans="1:22" ht="9" hidden="1" customHeight="1">
      <c r="A117" s="358">
        <v>99</v>
      </c>
      <c r="B117" s="361" t="s">
        <v>193</v>
      </c>
      <c r="C117" s="361" t="s">
        <v>998</v>
      </c>
      <c r="D117" s="361"/>
      <c r="E117" s="357">
        <f t="shared" si="5"/>
        <v>2009946.46</v>
      </c>
      <c r="F117" s="357">
        <v>0</v>
      </c>
      <c r="G117" s="359">
        <v>0</v>
      </c>
      <c r="H117" s="357">
        <v>0</v>
      </c>
      <c r="I117" s="357">
        <v>603</v>
      </c>
      <c r="J117" s="363" t="s">
        <v>109</v>
      </c>
      <c r="K117" s="358">
        <f t="shared" si="4"/>
        <v>3438.05</v>
      </c>
      <c r="L117" s="357">
        <v>2009946.46</v>
      </c>
      <c r="M117" s="357">
        <v>0</v>
      </c>
      <c r="N117" s="357">
        <v>0</v>
      </c>
      <c r="O117" s="357">
        <v>0</v>
      </c>
      <c r="P117" s="357">
        <v>0</v>
      </c>
      <c r="Q117" s="357">
        <v>0</v>
      </c>
      <c r="R117" s="357">
        <v>0</v>
      </c>
      <c r="S117" s="357">
        <v>0</v>
      </c>
      <c r="T117" s="357">
        <v>0</v>
      </c>
      <c r="U117" s="357">
        <v>0</v>
      </c>
      <c r="V117" s="357">
        <v>0</v>
      </c>
    </row>
    <row r="118" spans="1:22" s="335" customFormat="1" ht="9" hidden="1" customHeight="1">
      <c r="A118" s="358">
        <v>100</v>
      </c>
      <c r="B118" s="361" t="s">
        <v>194</v>
      </c>
      <c r="C118" s="361" t="s">
        <v>997</v>
      </c>
      <c r="D118" s="361"/>
      <c r="E118" s="357">
        <f t="shared" si="5"/>
        <v>2305946.58</v>
      </c>
      <c r="F118" s="357">
        <v>0</v>
      </c>
      <c r="G118" s="359">
        <v>0</v>
      </c>
      <c r="H118" s="357">
        <v>0</v>
      </c>
      <c r="I118" s="357">
        <v>930.78</v>
      </c>
      <c r="J118" s="363" t="s">
        <v>108</v>
      </c>
      <c r="K118" s="358">
        <f t="shared" ref="K118:K124" si="7">IF(J118="плоская",2022.07,3438.05)</f>
        <v>2022.07</v>
      </c>
      <c r="L118" s="357">
        <v>2305946.58</v>
      </c>
      <c r="M118" s="357">
        <v>0</v>
      </c>
      <c r="N118" s="357">
        <v>0</v>
      </c>
      <c r="O118" s="357">
        <v>0</v>
      </c>
      <c r="P118" s="357">
        <v>0</v>
      </c>
      <c r="Q118" s="357">
        <v>0</v>
      </c>
      <c r="R118" s="357">
        <v>0</v>
      </c>
      <c r="S118" s="357">
        <v>0</v>
      </c>
      <c r="T118" s="357">
        <v>0</v>
      </c>
      <c r="U118" s="357">
        <v>0</v>
      </c>
      <c r="V118" s="357">
        <v>0</v>
      </c>
    </row>
    <row r="119" spans="1:22" s="335" customFormat="1" ht="9" hidden="1" customHeight="1">
      <c r="A119" s="358">
        <v>101</v>
      </c>
      <c r="B119" s="361" t="s">
        <v>195</v>
      </c>
      <c r="C119" s="361" t="s">
        <v>997</v>
      </c>
      <c r="D119" s="361"/>
      <c r="E119" s="357">
        <f t="shared" si="5"/>
        <v>1285936.6399999999</v>
      </c>
      <c r="F119" s="357">
        <v>0</v>
      </c>
      <c r="G119" s="359">
        <v>0</v>
      </c>
      <c r="H119" s="357">
        <v>0</v>
      </c>
      <c r="I119" s="357">
        <v>475.2</v>
      </c>
      <c r="J119" s="363" t="s">
        <v>108</v>
      </c>
      <c r="K119" s="358">
        <f t="shared" si="7"/>
        <v>2022.07</v>
      </c>
      <c r="L119" s="357">
        <v>1285936.6399999999</v>
      </c>
      <c r="M119" s="357">
        <v>0</v>
      </c>
      <c r="N119" s="357">
        <v>0</v>
      </c>
      <c r="O119" s="357">
        <v>0</v>
      </c>
      <c r="P119" s="357">
        <v>0</v>
      </c>
      <c r="Q119" s="357">
        <v>0</v>
      </c>
      <c r="R119" s="357">
        <v>0</v>
      </c>
      <c r="S119" s="357">
        <v>0</v>
      </c>
      <c r="T119" s="357">
        <v>0</v>
      </c>
      <c r="U119" s="357">
        <v>0</v>
      </c>
      <c r="V119" s="357">
        <v>0</v>
      </c>
    </row>
    <row r="120" spans="1:22" ht="9" hidden="1" customHeight="1">
      <c r="A120" s="358">
        <v>102</v>
      </c>
      <c r="B120" s="361" t="s">
        <v>196</v>
      </c>
      <c r="C120" s="361" t="s">
        <v>998</v>
      </c>
      <c r="D120" s="361"/>
      <c r="E120" s="357">
        <f t="shared" si="5"/>
        <v>615919.81999999995</v>
      </c>
      <c r="F120" s="357">
        <v>0</v>
      </c>
      <c r="G120" s="359">
        <v>0</v>
      </c>
      <c r="H120" s="357">
        <v>0</v>
      </c>
      <c r="I120" s="357">
        <v>257</v>
      </c>
      <c r="J120" s="363" t="s">
        <v>109</v>
      </c>
      <c r="K120" s="358">
        <f t="shared" si="7"/>
        <v>3438.05</v>
      </c>
      <c r="L120" s="357">
        <v>615919.81999999995</v>
      </c>
      <c r="M120" s="357">
        <v>0</v>
      </c>
      <c r="N120" s="357">
        <v>0</v>
      </c>
      <c r="O120" s="357">
        <v>0</v>
      </c>
      <c r="P120" s="357">
        <v>0</v>
      </c>
      <c r="Q120" s="357">
        <v>0</v>
      </c>
      <c r="R120" s="357">
        <v>0</v>
      </c>
      <c r="S120" s="357">
        <v>0</v>
      </c>
      <c r="T120" s="357">
        <v>0</v>
      </c>
      <c r="U120" s="357">
        <v>0</v>
      </c>
      <c r="V120" s="357">
        <v>0</v>
      </c>
    </row>
    <row r="121" spans="1:22" ht="9" hidden="1" customHeight="1">
      <c r="A121" s="358">
        <v>103</v>
      </c>
      <c r="B121" s="361" t="s">
        <v>197</v>
      </c>
      <c r="C121" s="361" t="s">
        <v>998</v>
      </c>
      <c r="D121" s="361"/>
      <c r="E121" s="357">
        <f t="shared" si="5"/>
        <v>618007.39</v>
      </c>
      <c r="F121" s="357">
        <v>0</v>
      </c>
      <c r="G121" s="359">
        <v>0</v>
      </c>
      <c r="H121" s="357">
        <v>0</v>
      </c>
      <c r="I121" s="357">
        <v>248</v>
      </c>
      <c r="J121" s="363" t="s">
        <v>109</v>
      </c>
      <c r="K121" s="358">
        <f t="shared" si="7"/>
        <v>3438.05</v>
      </c>
      <c r="L121" s="357">
        <v>618007.39</v>
      </c>
      <c r="M121" s="357">
        <v>0</v>
      </c>
      <c r="N121" s="357">
        <v>0</v>
      </c>
      <c r="O121" s="357">
        <v>0</v>
      </c>
      <c r="P121" s="357">
        <v>0</v>
      </c>
      <c r="Q121" s="357">
        <v>0</v>
      </c>
      <c r="R121" s="357">
        <v>0</v>
      </c>
      <c r="S121" s="357">
        <v>0</v>
      </c>
      <c r="T121" s="357">
        <v>0</v>
      </c>
      <c r="U121" s="357">
        <v>0</v>
      </c>
      <c r="V121" s="357">
        <v>0</v>
      </c>
    </row>
    <row r="122" spans="1:22" ht="9" hidden="1" customHeight="1">
      <c r="A122" s="358">
        <v>104</v>
      </c>
      <c r="B122" s="361" t="s">
        <v>198</v>
      </c>
      <c r="C122" s="361" t="s">
        <v>997</v>
      </c>
      <c r="D122" s="361"/>
      <c r="E122" s="357">
        <f t="shared" si="5"/>
        <v>2690517</v>
      </c>
      <c r="F122" s="357">
        <v>0</v>
      </c>
      <c r="G122" s="359">
        <v>0</v>
      </c>
      <c r="H122" s="357">
        <v>0</v>
      </c>
      <c r="I122" s="357">
        <v>917.92</v>
      </c>
      <c r="J122" s="363" t="s">
        <v>108</v>
      </c>
      <c r="K122" s="358">
        <f t="shared" si="7"/>
        <v>2022.07</v>
      </c>
      <c r="L122" s="357">
        <v>2690517</v>
      </c>
      <c r="M122" s="357">
        <v>0</v>
      </c>
      <c r="N122" s="357">
        <v>0</v>
      </c>
      <c r="O122" s="357">
        <v>0</v>
      </c>
      <c r="P122" s="357">
        <v>0</v>
      </c>
      <c r="Q122" s="357">
        <v>0</v>
      </c>
      <c r="R122" s="357">
        <v>0</v>
      </c>
      <c r="S122" s="357">
        <v>0</v>
      </c>
      <c r="T122" s="357">
        <v>0</v>
      </c>
      <c r="U122" s="357">
        <v>0</v>
      </c>
      <c r="V122" s="357">
        <v>0</v>
      </c>
    </row>
    <row r="123" spans="1:22" ht="9" hidden="1" customHeight="1">
      <c r="A123" s="358">
        <v>105</v>
      </c>
      <c r="B123" s="361" t="s">
        <v>199</v>
      </c>
      <c r="C123" s="361" t="s">
        <v>998</v>
      </c>
      <c r="D123" s="361"/>
      <c r="E123" s="357">
        <f t="shared" si="5"/>
        <v>1163314.4099999999</v>
      </c>
      <c r="F123" s="357">
        <v>0</v>
      </c>
      <c r="G123" s="359">
        <v>0</v>
      </c>
      <c r="H123" s="357">
        <v>0</v>
      </c>
      <c r="I123" s="357">
        <v>374.4</v>
      </c>
      <c r="J123" s="363" t="s">
        <v>109</v>
      </c>
      <c r="K123" s="358">
        <f t="shared" si="7"/>
        <v>3438.05</v>
      </c>
      <c r="L123" s="357">
        <v>1163314.4099999999</v>
      </c>
      <c r="M123" s="357">
        <v>0</v>
      </c>
      <c r="N123" s="357">
        <v>0</v>
      </c>
      <c r="O123" s="357">
        <v>0</v>
      </c>
      <c r="P123" s="357">
        <v>0</v>
      </c>
      <c r="Q123" s="357">
        <v>0</v>
      </c>
      <c r="R123" s="357">
        <v>0</v>
      </c>
      <c r="S123" s="357">
        <v>0</v>
      </c>
      <c r="T123" s="357">
        <v>0</v>
      </c>
      <c r="U123" s="357">
        <v>0</v>
      </c>
      <c r="V123" s="357">
        <v>0</v>
      </c>
    </row>
    <row r="124" spans="1:22" s="335" customFormat="1" ht="9" hidden="1" customHeight="1">
      <c r="A124" s="358">
        <v>106</v>
      </c>
      <c r="B124" s="361" t="s">
        <v>200</v>
      </c>
      <c r="C124" s="361" t="s">
        <v>998</v>
      </c>
      <c r="D124" s="361"/>
      <c r="E124" s="357">
        <f t="shared" si="5"/>
        <v>2886508.54</v>
      </c>
      <c r="F124" s="357">
        <v>0</v>
      </c>
      <c r="G124" s="359">
        <v>0</v>
      </c>
      <c r="H124" s="357">
        <v>0</v>
      </c>
      <c r="I124" s="357">
        <v>691.25</v>
      </c>
      <c r="J124" s="363" t="s">
        <v>109</v>
      </c>
      <c r="K124" s="358">
        <f t="shared" si="7"/>
        <v>3438.05</v>
      </c>
      <c r="L124" s="357">
        <v>2886508.54</v>
      </c>
      <c r="M124" s="357">
        <v>0</v>
      </c>
      <c r="N124" s="357">
        <v>0</v>
      </c>
      <c r="O124" s="357">
        <v>0</v>
      </c>
      <c r="P124" s="357">
        <v>0</v>
      </c>
      <c r="Q124" s="357">
        <v>0</v>
      </c>
      <c r="R124" s="357">
        <v>0</v>
      </c>
      <c r="S124" s="357">
        <v>0</v>
      </c>
      <c r="T124" s="357">
        <v>0</v>
      </c>
      <c r="U124" s="357">
        <v>0</v>
      </c>
      <c r="V124" s="357">
        <v>0</v>
      </c>
    </row>
    <row r="125" spans="1:22" ht="9" hidden="1" customHeight="1">
      <c r="A125" s="358">
        <v>107</v>
      </c>
      <c r="B125" s="361" t="s">
        <v>203</v>
      </c>
      <c r="C125" s="361" t="s">
        <v>997</v>
      </c>
      <c r="D125" s="361"/>
      <c r="E125" s="357">
        <f>F125+H125+L125+N125+P125+R125+S125+T125+U125+V125</f>
        <v>4194560.96</v>
      </c>
      <c r="F125" s="357">
        <v>0</v>
      </c>
      <c r="G125" s="359">
        <v>0</v>
      </c>
      <c r="H125" s="357">
        <v>0</v>
      </c>
      <c r="I125" s="357">
        <v>1388</v>
      </c>
      <c r="J125" s="363" t="s">
        <v>108</v>
      </c>
      <c r="K125" s="358">
        <f>IF(J125="плоская",2022.07,3438.05)</f>
        <v>2022.07</v>
      </c>
      <c r="L125" s="357">
        <v>4194560.96</v>
      </c>
      <c r="M125" s="357">
        <v>0</v>
      </c>
      <c r="N125" s="357">
        <v>0</v>
      </c>
      <c r="O125" s="357">
        <v>0</v>
      </c>
      <c r="P125" s="357">
        <v>0</v>
      </c>
      <c r="Q125" s="357">
        <v>0</v>
      </c>
      <c r="R125" s="357">
        <v>0</v>
      </c>
      <c r="S125" s="357">
        <v>0</v>
      </c>
      <c r="T125" s="357">
        <v>0</v>
      </c>
      <c r="U125" s="357">
        <v>0</v>
      </c>
      <c r="V125" s="357">
        <v>0</v>
      </c>
    </row>
    <row r="126" spans="1:22" ht="9" hidden="1" customHeight="1">
      <c r="A126" s="358">
        <v>108</v>
      </c>
      <c r="B126" s="368" t="s">
        <v>1085</v>
      </c>
      <c r="C126" s="361"/>
      <c r="D126" s="361"/>
      <c r="E126" s="357">
        <f>F126+H126+L126+N126+P126+R126+S126+T126+U126+V126</f>
        <v>390000</v>
      </c>
      <c r="F126" s="357">
        <v>0</v>
      </c>
      <c r="G126" s="359">
        <v>0</v>
      </c>
      <c r="H126" s="357">
        <v>0</v>
      </c>
      <c r="I126" s="357">
        <v>0</v>
      </c>
      <c r="J126" s="363"/>
      <c r="K126" s="358"/>
      <c r="L126" s="357">
        <v>0</v>
      </c>
      <c r="M126" s="357">
        <v>0</v>
      </c>
      <c r="N126" s="357">
        <v>0</v>
      </c>
      <c r="O126" s="357">
        <v>2319</v>
      </c>
      <c r="P126" s="357">
        <v>390000</v>
      </c>
      <c r="Q126" s="357">
        <v>0</v>
      </c>
      <c r="R126" s="357">
        <v>0</v>
      </c>
      <c r="S126" s="357">
        <v>0</v>
      </c>
      <c r="T126" s="357">
        <v>0</v>
      </c>
      <c r="U126" s="357">
        <v>0</v>
      </c>
      <c r="V126" s="357">
        <v>0</v>
      </c>
    </row>
    <row r="127" spans="1:22" ht="9" hidden="1" customHeight="1">
      <c r="A127" s="358">
        <v>109</v>
      </c>
      <c r="B127" s="368" t="s">
        <v>1086</v>
      </c>
      <c r="C127" s="361"/>
      <c r="D127" s="361"/>
      <c r="E127" s="357">
        <f>F127+H127+L127+N127+P127+R127+S127+T127+U127+V127</f>
        <v>961041.56</v>
      </c>
      <c r="F127" s="357">
        <v>961041.56</v>
      </c>
      <c r="G127" s="359">
        <v>0</v>
      </c>
      <c r="H127" s="357">
        <v>0</v>
      </c>
      <c r="I127" s="357">
        <v>0</v>
      </c>
      <c r="J127" s="363"/>
      <c r="K127" s="358"/>
      <c r="L127" s="357">
        <v>0</v>
      </c>
      <c r="M127" s="357">
        <v>0</v>
      </c>
      <c r="N127" s="357">
        <v>0</v>
      </c>
      <c r="O127" s="357">
        <v>0</v>
      </c>
      <c r="P127" s="357">
        <v>0</v>
      </c>
      <c r="Q127" s="357">
        <v>0</v>
      </c>
      <c r="R127" s="357">
        <v>0</v>
      </c>
      <c r="S127" s="357">
        <v>0</v>
      </c>
      <c r="T127" s="357">
        <v>0</v>
      </c>
      <c r="U127" s="357">
        <v>0</v>
      </c>
      <c r="V127" s="357">
        <v>0</v>
      </c>
    </row>
    <row r="128" spans="1:22" ht="9" hidden="1" customHeight="1">
      <c r="A128" s="358">
        <v>110</v>
      </c>
      <c r="B128" s="368" t="s">
        <v>1140</v>
      </c>
      <c r="C128" s="361"/>
      <c r="D128" s="361"/>
      <c r="E128" s="357">
        <f t="shared" ref="E128:E133" si="8">F128+H128+L128+N128+P128+R128+S128+T128+U128+V128</f>
        <v>379884</v>
      </c>
      <c r="F128" s="357">
        <v>379884</v>
      </c>
      <c r="G128" s="359">
        <v>0</v>
      </c>
      <c r="H128" s="357">
        <v>0</v>
      </c>
      <c r="I128" s="357">
        <v>0</v>
      </c>
      <c r="J128" s="363"/>
      <c r="K128" s="358"/>
      <c r="L128" s="357">
        <v>0</v>
      </c>
      <c r="M128" s="357">
        <v>0</v>
      </c>
      <c r="N128" s="357">
        <v>0</v>
      </c>
      <c r="O128" s="357">
        <v>0</v>
      </c>
      <c r="P128" s="357">
        <v>0</v>
      </c>
      <c r="Q128" s="357">
        <v>0</v>
      </c>
      <c r="R128" s="357">
        <v>0</v>
      </c>
      <c r="S128" s="357">
        <v>0</v>
      </c>
      <c r="T128" s="357">
        <v>0</v>
      </c>
      <c r="U128" s="357">
        <v>0</v>
      </c>
      <c r="V128" s="357">
        <v>0</v>
      </c>
    </row>
    <row r="129" spans="1:22" ht="9" hidden="1" customHeight="1">
      <c r="A129" s="358">
        <v>111</v>
      </c>
      <c r="B129" s="368" t="s">
        <v>1096</v>
      </c>
      <c r="C129" s="361"/>
      <c r="D129" s="361"/>
      <c r="E129" s="357">
        <f t="shared" si="8"/>
        <v>570000</v>
      </c>
      <c r="F129" s="357">
        <v>0</v>
      </c>
      <c r="G129" s="359">
        <v>0</v>
      </c>
      <c r="H129" s="357">
        <v>0</v>
      </c>
      <c r="I129" s="357">
        <v>0</v>
      </c>
      <c r="J129" s="363"/>
      <c r="K129" s="358"/>
      <c r="L129" s="357">
        <v>0</v>
      </c>
      <c r="M129" s="357">
        <v>0</v>
      </c>
      <c r="N129" s="357">
        <v>0</v>
      </c>
      <c r="O129" s="357">
        <v>0</v>
      </c>
      <c r="P129" s="357">
        <v>0</v>
      </c>
      <c r="Q129" s="357">
        <v>0</v>
      </c>
      <c r="R129" s="357">
        <v>0</v>
      </c>
      <c r="S129" s="357">
        <v>570000</v>
      </c>
      <c r="T129" s="357">
        <v>0</v>
      </c>
      <c r="U129" s="357">
        <v>0</v>
      </c>
      <c r="V129" s="357">
        <v>0</v>
      </c>
    </row>
    <row r="130" spans="1:22" ht="9" hidden="1" customHeight="1">
      <c r="A130" s="358">
        <v>112</v>
      </c>
      <c r="B130" s="368" t="s">
        <v>1097</v>
      </c>
      <c r="C130" s="361"/>
      <c r="D130" s="361"/>
      <c r="E130" s="357">
        <f t="shared" si="8"/>
        <v>979618</v>
      </c>
      <c r="F130" s="357">
        <v>979618</v>
      </c>
      <c r="G130" s="359">
        <v>0</v>
      </c>
      <c r="H130" s="357">
        <v>0</v>
      </c>
      <c r="I130" s="357">
        <v>0</v>
      </c>
      <c r="J130" s="363"/>
      <c r="K130" s="358"/>
      <c r="L130" s="357">
        <v>0</v>
      </c>
      <c r="M130" s="357">
        <v>0</v>
      </c>
      <c r="N130" s="357">
        <v>0</v>
      </c>
      <c r="O130" s="357">
        <v>0</v>
      </c>
      <c r="P130" s="357">
        <v>0</v>
      </c>
      <c r="Q130" s="357">
        <v>0</v>
      </c>
      <c r="R130" s="357">
        <v>0</v>
      </c>
      <c r="S130" s="357">
        <v>0</v>
      </c>
      <c r="T130" s="357">
        <v>0</v>
      </c>
      <c r="U130" s="357">
        <v>0</v>
      </c>
      <c r="V130" s="357">
        <v>0</v>
      </c>
    </row>
    <row r="131" spans="1:22" ht="9" hidden="1" customHeight="1">
      <c r="A131" s="358">
        <v>113</v>
      </c>
      <c r="B131" s="368" t="s">
        <v>1098</v>
      </c>
      <c r="C131" s="361"/>
      <c r="D131" s="361"/>
      <c r="E131" s="357">
        <f t="shared" si="8"/>
        <v>854947</v>
      </c>
      <c r="F131" s="357">
        <v>239766</v>
      </c>
      <c r="G131" s="359">
        <v>0</v>
      </c>
      <c r="H131" s="357">
        <v>0</v>
      </c>
      <c r="I131" s="357">
        <v>0</v>
      </c>
      <c r="J131" s="363"/>
      <c r="K131" s="358"/>
      <c r="L131" s="357">
        <v>0</v>
      </c>
      <c r="M131" s="357">
        <v>0</v>
      </c>
      <c r="N131" s="357">
        <v>0</v>
      </c>
      <c r="O131" s="357">
        <v>1821.4</v>
      </c>
      <c r="P131" s="357">
        <v>357500</v>
      </c>
      <c r="Q131" s="357">
        <v>0</v>
      </c>
      <c r="R131" s="357">
        <v>0</v>
      </c>
      <c r="S131" s="357">
        <v>0</v>
      </c>
      <c r="T131" s="357">
        <v>0</v>
      </c>
      <c r="U131" s="357">
        <v>257681</v>
      </c>
      <c r="V131" s="357">
        <v>0</v>
      </c>
    </row>
    <row r="132" spans="1:22" ht="9" hidden="1" customHeight="1">
      <c r="A132" s="358">
        <v>114</v>
      </c>
      <c r="B132" s="368" t="s">
        <v>1132</v>
      </c>
      <c r="C132" s="361"/>
      <c r="D132" s="361"/>
      <c r="E132" s="357">
        <f t="shared" si="8"/>
        <v>357000</v>
      </c>
      <c r="F132" s="357">
        <v>0</v>
      </c>
      <c r="G132" s="359">
        <v>0</v>
      </c>
      <c r="H132" s="357">
        <v>0</v>
      </c>
      <c r="I132" s="357">
        <v>0</v>
      </c>
      <c r="J132" s="363"/>
      <c r="K132" s="358"/>
      <c r="L132" s="357">
        <v>0</v>
      </c>
      <c r="M132" s="357">
        <v>0</v>
      </c>
      <c r="N132" s="357">
        <v>0</v>
      </c>
      <c r="O132" s="357">
        <v>3604</v>
      </c>
      <c r="P132" s="357">
        <v>357000</v>
      </c>
      <c r="Q132" s="357">
        <v>0</v>
      </c>
      <c r="R132" s="357">
        <v>0</v>
      </c>
      <c r="S132" s="357">
        <v>0</v>
      </c>
      <c r="T132" s="357">
        <v>0</v>
      </c>
      <c r="U132" s="357">
        <v>0</v>
      </c>
      <c r="V132" s="357">
        <v>0</v>
      </c>
    </row>
    <row r="133" spans="1:22" ht="9" hidden="1" customHeight="1">
      <c r="A133" s="358">
        <v>115</v>
      </c>
      <c r="B133" s="369" t="s">
        <v>1136</v>
      </c>
      <c r="C133" s="361"/>
      <c r="D133" s="361"/>
      <c r="E133" s="357">
        <f t="shared" si="8"/>
        <v>278275.90000000002</v>
      </c>
      <c r="F133" s="357">
        <v>278275.90000000002</v>
      </c>
      <c r="G133" s="359">
        <v>0</v>
      </c>
      <c r="H133" s="357">
        <v>0</v>
      </c>
      <c r="I133" s="357">
        <v>0</v>
      </c>
      <c r="J133" s="363"/>
      <c r="K133" s="358"/>
      <c r="L133" s="357">
        <v>0</v>
      </c>
      <c r="M133" s="357">
        <v>0</v>
      </c>
      <c r="N133" s="357">
        <v>0</v>
      </c>
      <c r="O133" s="357">
        <v>0</v>
      </c>
      <c r="P133" s="357">
        <v>0</v>
      </c>
      <c r="Q133" s="357">
        <v>0</v>
      </c>
      <c r="R133" s="357">
        <v>0</v>
      </c>
      <c r="S133" s="357">
        <v>0</v>
      </c>
      <c r="T133" s="357">
        <v>0</v>
      </c>
      <c r="U133" s="357">
        <v>0</v>
      </c>
      <c r="V133" s="357">
        <v>0</v>
      </c>
    </row>
    <row r="134" spans="1:22" ht="9.75" hidden="1" customHeight="1">
      <c r="A134" s="550" t="s">
        <v>219</v>
      </c>
      <c r="B134" s="550"/>
      <c r="C134" s="550"/>
      <c r="D134" s="550"/>
      <c r="E134" s="550"/>
      <c r="F134" s="550"/>
      <c r="G134" s="550"/>
      <c r="H134" s="550"/>
      <c r="I134" s="550"/>
      <c r="J134" s="550"/>
      <c r="K134" s="550"/>
      <c r="L134" s="550"/>
      <c r="M134" s="550"/>
      <c r="N134" s="550"/>
      <c r="O134" s="550"/>
      <c r="P134" s="550"/>
      <c r="Q134" s="550"/>
      <c r="R134" s="550"/>
      <c r="S134" s="550"/>
      <c r="T134" s="550"/>
      <c r="U134" s="550"/>
      <c r="V134" s="550"/>
    </row>
    <row r="135" spans="1:22" ht="22.5" hidden="1" customHeight="1">
      <c r="A135" s="559" t="s">
        <v>218</v>
      </c>
      <c r="B135" s="559"/>
      <c r="C135" s="355"/>
      <c r="D135" s="355"/>
      <c r="E135" s="357">
        <f>SUM(E136:E145)</f>
        <v>25233089.669999998</v>
      </c>
      <c r="F135" s="357">
        <f t="shared" ref="F135:V135" si="9">SUM(F136:F145)</f>
        <v>1894029.58</v>
      </c>
      <c r="G135" s="360">
        <f t="shared" si="9"/>
        <v>0</v>
      </c>
      <c r="H135" s="357">
        <f t="shared" si="9"/>
        <v>0</v>
      </c>
      <c r="I135" s="357">
        <f t="shared" si="9"/>
        <v>6959.7199999999993</v>
      </c>
      <c r="J135" s="357">
        <f t="shared" si="9"/>
        <v>0</v>
      </c>
      <c r="K135" s="357">
        <f t="shared" si="9"/>
        <v>28053.019999999997</v>
      </c>
      <c r="L135" s="357">
        <f t="shared" si="9"/>
        <v>23019244.289999999</v>
      </c>
      <c r="M135" s="357">
        <f t="shared" si="9"/>
        <v>0</v>
      </c>
      <c r="N135" s="357">
        <f t="shared" si="9"/>
        <v>0</v>
      </c>
      <c r="O135" s="357">
        <f t="shared" si="9"/>
        <v>2000</v>
      </c>
      <c r="P135" s="357">
        <f t="shared" si="9"/>
        <v>97200</v>
      </c>
      <c r="Q135" s="357">
        <f t="shared" si="9"/>
        <v>0</v>
      </c>
      <c r="R135" s="357">
        <f t="shared" si="9"/>
        <v>0</v>
      </c>
      <c r="S135" s="357">
        <f t="shared" si="9"/>
        <v>0</v>
      </c>
      <c r="T135" s="357">
        <f t="shared" si="9"/>
        <v>0</v>
      </c>
      <c r="U135" s="357">
        <f t="shared" si="9"/>
        <v>222615.8</v>
      </c>
      <c r="V135" s="357">
        <f t="shared" si="9"/>
        <v>0</v>
      </c>
    </row>
    <row r="136" spans="1:22" s="335" customFormat="1" ht="9" hidden="1" customHeight="1">
      <c r="A136" s="370">
        <v>116</v>
      </c>
      <c r="B136" s="371" t="s">
        <v>221</v>
      </c>
      <c r="C136" s="361" t="s">
        <v>1000</v>
      </c>
      <c r="D136" s="361"/>
      <c r="E136" s="357">
        <f>F136+H136+L136+N136+P136+R136+S136+T136+U136+V136</f>
        <v>2116645.38</v>
      </c>
      <c r="F136" s="357">
        <v>1894029.58</v>
      </c>
      <c r="G136" s="359">
        <v>0</v>
      </c>
      <c r="H136" s="357">
        <v>0</v>
      </c>
      <c r="I136" s="357">
        <v>0</v>
      </c>
      <c r="J136" s="357" t="s">
        <v>226</v>
      </c>
      <c r="K136" s="357">
        <f>(200+1060+170+260+190)*1.045</f>
        <v>1964.6</v>
      </c>
      <c r="L136" s="357">
        <v>0</v>
      </c>
      <c r="M136" s="357">
        <v>0</v>
      </c>
      <c r="N136" s="357">
        <v>0</v>
      </c>
      <c r="O136" s="357">
        <v>0</v>
      </c>
      <c r="P136" s="357">
        <v>0</v>
      </c>
      <c r="Q136" s="357">
        <v>0</v>
      </c>
      <c r="R136" s="357">
        <v>0</v>
      </c>
      <c r="S136" s="357">
        <v>0</v>
      </c>
      <c r="T136" s="357">
        <v>0</v>
      </c>
      <c r="U136" s="357">
        <v>222615.8</v>
      </c>
      <c r="V136" s="357">
        <v>0</v>
      </c>
    </row>
    <row r="137" spans="1:22" ht="9" hidden="1" customHeight="1">
      <c r="A137" s="370">
        <v>117</v>
      </c>
      <c r="B137" s="371" t="s">
        <v>363</v>
      </c>
      <c r="C137" s="361" t="s">
        <v>998</v>
      </c>
      <c r="D137" s="361"/>
      <c r="E137" s="357">
        <f t="shared" ref="E137:E145" si="10">F137+H137+L137+N137+P137+R137+S137+T137+U137+V137</f>
        <v>3992588.78</v>
      </c>
      <c r="F137" s="357">
        <v>0</v>
      </c>
      <c r="G137" s="359">
        <v>0</v>
      </c>
      <c r="H137" s="357">
        <v>0</v>
      </c>
      <c r="I137" s="357">
        <v>1201</v>
      </c>
      <c r="J137" s="372" t="s">
        <v>109</v>
      </c>
      <c r="K137" s="372">
        <v>3438.05</v>
      </c>
      <c r="L137" s="357">
        <v>3992588.78</v>
      </c>
      <c r="M137" s="357">
        <v>0</v>
      </c>
      <c r="N137" s="357">
        <v>0</v>
      </c>
      <c r="O137" s="357">
        <v>0</v>
      </c>
      <c r="P137" s="357">
        <v>0</v>
      </c>
      <c r="Q137" s="357">
        <v>0</v>
      </c>
      <c r="R137" s="357">
        <v>0</v>
      </c>
      <c r="S137" s="357">
        <v>0</v>
      </c>
      <c r="T137" s="357">
        <v>0</v>
      </c>
      <c r="U137" s="357">
        <v>0</v>
      </c>
      <c r="V137" s="357">
        <v>0</v>
      </c>
    </row>
    <row r="138" spans="1:22" s="335" customFormat="1" ht="9" hidden="1" customHeight="1">
      <c r="A138" s="370">
        <v>118</v>
      </c>
      <c r="B138" s="371" t="s">
        <v>364</v>
      </c>
      <c r="C138" s="355" t="s">
        <v>998</v>
      </c>
      <c r="D138" s="355"/>
      <c r="E138" s="357">
        <f t="shared" si="10"/>
        <v>4303950.1500000004</v>
      </c>
      <c r="F138" s="357">
        <v>0</v>
      </c>
      <c r="G138" s="359">
        <v>0</v>
      </c>
      <c r="H138" s="357">
        <v>0</v>
      </c>
      <c r="I138" s="357">
        <v>1298</v>
      </c>
      <c r="J138" s="372" t="s">
        <v>109</v>
      </c>
      <c r="K138" s="372">
        <v>3438.05</v>
      </c>
      <c r="L138" s="357">
        <v>4303950.1500000004</v>
      </c>
      <c r="M138" s="357">
        <v>0</v>
      </c>
      <c r="N138" s="357">
        <v>0</v>
      </c>
      <c r="O138" s="357">
        <v>0</v>
      </c>
      <c r="P138" s="357">
        <v>0</v>
      </c>
      <c r="Q138" s="357">
        <v>0</v>
      </c>
      <c r="R138" s="357">
        <v>0</v>
      </c>
      <c r="S138" s="357">
        <v>0</v>
      </c>
      <c r="T138" s="357">
        <v>0</v>
      </c>
      <c r="U138" s="357">
        <v>0</v>
      </c>
      <c r="V138" s="357">
        <v>0</v>
      </c>
    </row>
    <row r="139" spans="1:22" ht="9" hidden="1" customHeight="1">
      <c r="A139" s="370">
        <v>119</v>
      </c>
      <c r="B139" s="371" t="s">
        <v>365</v>
      </c>
      <c r="C139" s="355" t="s">
        <v>998</v>
      </c>
      <c r="D139" s="355"/>
      <c r="E139" s="357">
        <f t="shared" si="10"/>
        <v>1110243.6499999999</v>
      </c>
      <c r="F139" s="357">
        <v>0</v>
      </c>
      <c r="G139" s="359">
        <v>0</v>
      </c>
      <c r="H139" s="357">
        <v>0</v>
      </c>
      <c r="I139" s="357">
        <v>327.36</v>
      </c>
      <c r="J139" s="372" t="s">
        <v>109</v>
      </c>
      <c r="K139" s="372">
        <v>3438.05</v>
      </c>
      <c r="L139" s="357">
        <v>1110243.6499999999</v>
      </c>
      <c r="M139" s="357">
        <v>0</v>
      </c>
      <c r="N139" s="357">
        <v>0</v>
      </c>
      <c r="O139" s="357">
        <v>0</v>
      </c>
      <c r="P139" s="357">
        <v>0</v>
      </c>
      <c r="Q139" s="357">
        <v>0</v>
      </c>
      <c r="R139" s="357">
        <v>0</v>
      </c>
      <c r="S139" s="357">
        <v>0</v>
      </c>
      <c r="T139" s="357">
        <v>0</v>
      </c>
      <c r="U139" s="357">
        <v>0</v>
      </c>
      <c r="V139" s="357">
        <v>0</v>
      </c>
    </row>
    <row r="140" spans="1:22" ht="9" hidden="1" customHeight="1">
      <c r="A140" s="370">
        <v>120</v>
      </c>
      <c r="B140" s="371" t="s">
        <v>222</v>
      </c>
      <c r="C140" s="361" t="s">
        <v>998</v>
      </c>
      <c r="D140" s="361"/>
      <c r="E140" s="357">
        <f t="shared" si="10"/>
        <v>2935085.2</v>
      </c>
      <c r="F140" s="357">
        <v>0</v>
      </c>
      <c r="G140" s="359">
        <v>0</v>
      </c>
      <c r="H140" s="357">
        <v>0</v>
      </c>
      <c r="I140" s="357">
        <v>833.56</v>
      </c>
      <c r="J140" s="357" t="s">
        <v>109</v>
      </c>
      <c r="K140" s="357">
        <v>3438.05</v>
      </c>
      <c r="L140" s="357">
        <v>2935085.2</v>
      </c>
      <c r="M140" s="357">
        <v>0</v>
      </c>
      <c r="N140" s="357">
        <v>0</v>
      </c>
      <c r="O140" s="357">
        <v>0</v>
      </c>
      <c r="P140" s="357">
        <v>0</v>
      </c>
      <c r="Q140" s="357">
        <v>0</v>
      </c>
      <c r="R140" s="357">
        <v>0</v>
      </c>
      <c r="S140" s="357">
        <v>0</v>
      </c>
      <c r="T140" s="357">
        <v>0</v>
      </c>
      <c r="U140" s="357">
        <v>0</v>
      </c>
      <c r="V140" s="357">
        <v>0</v>
      </c>
    </row>
    <row r="141" spans="1:22" ht="9" hidden="1" customHeight="1">
      <c r="A141" s="370">
        <v>121</v>
      </c>
      <c r="B141" s="371" t="s">
        <v>1142</v>
      </c>
      <c r="C141" s="361" t="s">
        <v>998</v>
      </c>
      <c r="D141" s="361"/>
      <c r="E141" s="357">
        <f t="shared" si="10"/>
        <v>1936321.92</v>
      </c>
      <c r="F141" s="357">
        <v>0</v>
      </c>
      <c r="G141" s="359">
        <v>0</v>
      </c>
      <c r="H141" s="357">
        <v>0</v>
      </c>
      <c r="I141" s="357">
        <v>546.32000000000005</v>
      </c>
      <c r="J141" s="357" t="s">
        <v>109</v>
      </c>
      <c r="K141" s="357">
        <v>3438.05</v>
      </c>
      <c r="L141" s="357">
        <v>1936321.92</v>
      </c>
      <c r="M141" s="357">
        <v>0</v>
      </c>
      <c r="N141" s="357">
        <v>0</v>
      </c>
      <c r="O141" s="357">
        <v>0</v>
      </c>
      <c r="P141" s="357">
        <v>0</v>
      </c>
      <c r="Q141" s="357">
        <v>0</v>
      </c>
      <c r="R141" s="357">
        <v>0</v>
      </c>
      <c r="S141" s="357">
        <v>0</v>
      </c>
      <c r="T141" s="357">
        <v>0</v>
      </c>
      <c r="U141" s="357">
        <v>0</v>
      </c>
      <c r="V141" s="357">
        <v>0</v>
      </c>
    </row>
    <row r="142" spans="1:22" s="335" customFormat="1" ht="9" hidden="1" customHeight="1">
      <c r="A142" s="370">
        <v>122</v>
      </c>
      <c r="B142" s="371" t="s">
        <v>223</v>
      </c>
      <c r="C142" s="361" t="s">
        <v>998</v>
      </c>
      <c r="D142" s="361"/>
      <c r="E142" s="357">
        <f t="shared" si="10"/>
        <v>3872686.96</v>
      </c>
      <c r="F142" s="357">
        <v>0</v>
      </c>
      <c r="G142" s="359">
        <v>0</v>
      </c>
      <c r="H142" s="357">
        <v>0</v>
      </c>
      <c r="I142" s="357">
        <v>987</v>
      </c>
      <c r="J142" s="357" t="s">
        <v>109</v>
      </c>
      <c r="K142" s="357">
        <v>3438.05</v>
      </c>
      <c r="L142" s="357">
        <v>3872686.96</v>
      </c>
      <c r="M142" s="357">
        <v>0</v>
      </c>
      <c r="N142" s="357">
        <v>0</v>
      </c>
      <c r="O142" s="357">
        <v>0</v>
      </c>
      <c r="P142" s="357">
        <v>0</v>
      </c>
      <c r="Q142" s="357">
        <v>0</v>
      </c>
      <c r="R142" s="357">
        <v>0</v>
      </c>
      <c r="S142" s="357">
        <v>0</v>
      </c>
      <c r="T142" s="357">
        <v>0</v>
      </c>
      <c r="U142" s="357">
        <v>0</v>
      </c>
      <c r="V142" s="357">
        <v>0</v>
      </c>
    </row>
    <row r="143" spans="1:22" ht="9" hidden="1" customHeight="1">
      <c r="A143" s="370">
        <v>123</v>
      </c>
      <c r="B143" s="371" t="s">
        <v>366</v>
      </c>
      <c r="C143" s="355" t="s">
        <v>998</v>
      </c>
      <c r="D143" s="355"/>
      <c r="E143" s="357">
        <f t="shared" si="10"/>
        <v>2640715.48</v>
      </c>
      <c r="F143" s="357">
        <v>0</v>
      </c>
      <c r="G143" s="359">
        <v>0</v>
      </c>
      <c r="H143" s="357">
        <v>0</v>
      </c>
      <c r="I143" s="357">
        <v>907.7</v>
      </c>
      <c r="J143" s="372" t="s">
        <v>109</v>
      </c>
      <c r="K143" s="372">
        <v>3438.05</v>
      </c>
      <c r="L143" s="357">
        <v>2640715.48</v>
      </c>
      <c r="M143" s="357">
        <v>0</v>
      </c>
      <c r="N143" s="357">
        <v>0</v>
      </c>
      <c r="O143" s="357">
        <v>0</v>
      </c>
      <c r="P143" s="357">
        <v>0</v>
      </c>
      <c r="Q143" s="357">
        <v>0</v>
      </c>
      <c r="R143" s="357">
        <v>0</v>
      </c>
      <c r="S143" s="357">
        <v>0</v>
      </c>
      <c r="T143" s="357">
        <v>0</v>
      </c>
      <c r="U143" s="357">
        <v>0</v>
      </c>
      <c r="V143" s="357">
        <v>0</v>
      </c>
    </row>
    <row r="144" spans="1:22" s="335" customFormat="1" ht="9.75" hidden="1" customHeight="1">
      <c r="A144" s="370">
        <v>124</v>
      </c>
      <c r="B144" s="371" t="s">
        <v>224</v>
      </c>
      <c r="C144" s="361" t="s">
        <v>997</v>
      </c>
      <c r="D144" s="361"/>
      <c r="E144" s="357">
        <f t="shared" si="10"/>
        <v>2227652.15</v>
      </c>
      <c r="F144" s="357">
        <v>0</v>
      </c>
      <c r="G144" s="359">
        <v>0</v>
      </c>
      <c r="H144" s="357">
        <v>0</v>
      </c>
      <c r="I144" s="357">
        <v>858.78</v>
      </c>
      <c r="J144" s="357" t="s">
        <v>108</v>
      </c>
      <c r="K144" s="357">
        <v>2022.07</v>
      </c>
      <c r="L144" s="357">
        <v>2227652.15</v>
      </c>
      <c r="M144" s="357">
        <v>0</v>
      </c>
      <c r="N144" s="357">
        <v>0</v>
      </c>
      <c r="O144" s="357">
        <v>0</v>
      </c>
      <c r="P144" s="357">
        <v>0</v>
      </c>
      <c r="Q144" s="357">
        <v>0</v>
      </c>
      <c r="R144" s="357">
        <v>0</v>
      </c>
      <c r="S144" s="357">
        <v>0</v>
      </c>
      <c r="T144" s="357">
        <v>0</v>
      </c>
      <c r="U144" s="357">
        <v>0</v>
      </c>
      <c r="V144" s="357">
        <v>0</v>
      </c>
    </row>
    <row r="145" spans="1:22" ht="9" hidden="1" customHeight="1">
      <c r="A145" s="370">
        <v>125</v>
      </c>
      <c r="B145" s="368" t="s">
        <v>1099</v>
      </c>
      <c r="C145" s="361"/>
      <c r="D145" s="361"/>
      <c r="E145" s="357">
        <f t="shared" si="10"/>
        <v>97200</v>
      </c>
      <c r="F145" s="357">
        <v>0</v>
      </c>
      <c r="G145" s="359">
        <v>0</v>
      </c>
      <c r="H145" s="357">
        <v>0</v>
      </c>
      <c r="I145" s="357">
        <v>0</v>
      </c>
      <c r="J145" s="357"/>
      <c r="K145" s="357"/>
      <c r="L145" s="357">
        <v>0</v>
      </c>
      <c r="M145" s="357">
        <v>0</v>
      </c>
      <c r="N145" s="357">
        <v>0</v>
      </c>
      <c r="O145" s="357">
        <v>2000</v>
      </c>
      <c r="P145" s="357">
        <v>97200</v>
      </c>
      <c r="Q145" s="357">
        <v>0</v>
      </c>
      <c r="R145" s="357">
        <v>0</v>
      </c>
      <c r="S145" s="357">
        <v>0</v>
      </c>
      <c r="T145" s="357">
        <v>0</v>
      </c>
      <c r="U145" s="357">
        <v>0</v>
      </c>
      <c r="V145" s="357">
        <v>0</v>
      </c>
    </row>
    <row r="146" spans="1:22" hidden="1">
      <c r="A146" s="550" t="s">
        <v>229</v>
      </c>
      <c r="B146" s="550"/>
      <c r="C146" s="550"/>
      <c r="D146" s="550"/>
      <c r="E146" s="550"/>
      <c r="F146" s="550"/>
      <c r="G146" s="550"/>
      <c r="H146" s="550"/>
      <c r="I146" s="550"/>
      <c r="J146" s="550"/>
      <c r="K146" s="550"/>
      <c r="L146" s="550"/>
      <c r="M146" s="550"/>
      <c r="N146" s="550"/>
      <c r="O146" s="550"/>
      <c r="P146" s="550"/>
      <c r="Q146" s="550"/>
      <c r="R146" s="550"/>
      <c r="S146" s="550"/>
      <c r="T146" s="550"/>
      <c r="U146" s="550"/>
      <c r="V146" s="550"/>
    </row>
    <row r="147" spans="1:22" ht="20.25" hidden="1" customHeight="1">
      <c r="A147" s="559" t="s">
        <v>236</v>
      </c>
      <c r="B147" s="559"/>
      <c r="C147" s="355"/>
      <c r="D147" s="355"/>
      <c r="E147" s="357">
        <f>SUM(E148:E158)</f>
        <v>15375929.569999998</v>
      </c>
      <c r="F147" s="357">
        <f t="shared" ref="F147:V147" si="11">SUM(F148:F158)</f>
        <v>670503.08000000007</v>
      </c>
      <c r="G147" s="360">
        <f t="shared" si="11"/>
        <v>0</v>
      </c>
      <c r="H147" s="357">
        <f t="shared" si="11"/>
        <v>0</v>
      </c>
      <c r="I147" s="357">
        <f t="shared" si="11"/>
        <v>4248.47</v>
      </c>
      <c r="J147" s="357">
        <f t="shared" si="11"/>
        <v>0</v>
      </c>
      <c r="K147" s="357">
        <f t="shared" si="11"/>
        <v>24066.35</v>
      </c>
      <c r="L147" s="357">
        <f t="shared" si="11"/>
        <v>11720409.82</v>
      </c>
      <c r="M147" s="357">
        <f t="shared" si="11"/>
        <v>990.1</v>
      </c>
      <c r="N147" s="357">
        <f t="shared" si="11"/>
        <v>755106</v>
      </c>
      <c r="O147" s="357">
        <f t="shared" si="11"/>
        <v>602</v>
      </c>
      <c r="P147" s="357">
        <f t="shared" si="11"/>
        <v>2229910.67</v>
      </c>
      <c r="Q147" s="357">
        <f t="shared" si="11"/>
        <v>0</v>
      </c>
      <c r="R147" s="357">
        <f t="shared" si="11"/>
        <v>0</v>
      </c>
      <c r="S147" s="357">
        <f t="shared" si="11"/>
        <v>0</v>
      </c>
      <c r="T147" s="357">
        <f t="shared" si="11"/>
        <v>0</v>
      </c>
      <c r="U147" s="357">
        <f t="shared" si="11"/>
        <v>0</v>
      </c>
      <c r="V147" s="357">
        <f t="shared" si="11"/>
        <v>0</v>
      </c>
    </row>
    <row r="148" spans="1:22" s="335" customFormat="1" ht="9" hidden="1" customHeight="1">
      <c r="A148" s="358">
        <v>126</v>
      </c>
      <c r="B148" s="373" t="s">
        <v>230</v>
      </c>
      <c r="C148" s="361" t="s">
        <v>1001</v>
      </c>
      <c r="D148" s="361"/>
      <c r="E148" s="357">
        <f t="shared" ref="E148:E156" si="12">F148+H148+L148+N148+P148+R148+S148+T148+U148+V148</f>
        <v>2229910.67</v>
      </c>
      <c r="F148" s="357">
        <v>0</v>
      </c>
      <c r="G148" s="359">
        <v>0</v>
      </c>
      <c r="H148" s="357">
        <v>0</v>
      </c>
      <c r="I148" s="374">
        <v>0</v>
      </c>
      <c r="J148" s="374" t="s">
        <v>400</v>
      </c>
      <c r="K148" s="374"/>
      <c r="L148" s="357">
        <v>0</v>
      </c>
      <c r="M148" s="357">
        <v>0</v>
      </c>
      <c r="N148" s="357">
        <v>0</v>
      </c>
      <c r="O148" s="374">
        <v>602</v>
      </c>
      <c r="P148" s="357">
        <v>2229910.67</v>
      </c>
      <c r="Q148" s="357">
        <v>0</v>
      </c>
      <c r="R148" s="357">
        <v>0</v>
      </c>
      <c r="S148" s="357">
        <v>0</v>
      </c>
      <c r="T148" s="357">
        <v>0</v>
      </c>
      <c r="U148" s="357">
        <v>0</v>
      </c>
      <c r="V148" s="357">
        <v>0</v>
      </c>
    </row>
    <row r="149" spans="1:22" s="335" customFormat="1" ht="9" hidden="1" customHeight="1">
      <c r="A149" s="358">
        <v>127</v>
      </c>
      <c r="B149" s="373" t="s">
        <v>231</v>
      </c>
      <c r="C149" s="361" t="s">
        <v>998</v>
      </c>
      <c r="D149" s="361"/>
      <c r="E149" s="357">
        <f t="shared" si="12"/>
        <v>848778.18</v>
      </c>
      <c r="F149" s="357">
        <v>0</v>
      </c>
      <c r="G149" s="359">
        <v>0</v>
      </c>
      <c r="H149" s="357">
        <v>0</v>
      </c>
      <c r="I149" s="374">
        <v>274</v>
      </c>
      <c r="J149" s="374" t="s">
        <v>109</v>
      </c>
      <c r="K149" s="374">
        <v>3438.05</v>
      </c>
      <c r="L149" s="357">
        <v>848778.18</v>
      </c>
      <c r="M149" s="357">
        <v>0</v>
      </c>
      <c r="N149" s="357">
        <v>0</v>
      </c>
      <c r="O149" s="357">
        <v>0</v>
      </c>
      <c r="P149" s="357">
        <v>0</v>
      </c>
      <c r="Q149" s="357">
        <v>0</v>
      </c>
      <c r="R149" s="357">
        <v>0</v>
      </c>
      <c r="S149" s="357">
        <v>0</v>
      </c>
      <c r="T149" s="357">
        <v>0</v>
      </c>
      <c r="U149" s="357">
        <v>0</v>
      </c>
      <c r="V149" s="357">
        <v>0</v>
      </c>
    </row>
    <row r="150" spans="1:22" s="335" customFormat="1" ht="9" hidden="1" customHeight="1">
      <c r="A150" s="358">
        <v>128</v>
      </c>
      <c r="B150" s="373" t="s">
        <v>232</v>
      </c>
      <c r="C150" s="361" t="s">
        <v>997</v>
      </c>
      <c r="D150" s="361"/>
      <c r="E150" s="357">
        <f t="shared" si="12"/>
        <v>1526524.48</v>
      </c>
      <c r="F150" s="357">
        <v>0</v>
      </c>
      <c r="G150" s="359">
        <v>0</v>
      </c>
      <c r="H150" s="357">
        <v>0</v>
      </c>
      <c r="I150" s="374">
        <v>635.11</v>
      </c>
      <c r="J150" s="374" t="s">
        <v>109</v>
      </c>
      <c r="K150" s="374">
        <v>3438.05</v>
      </c>
      <c r="L150" s="357">
        <v>1526524.48</v>
      </c>
      <c r="M150" s="357">
        <v>0</v>
      </c>
      <c r="N150" s="357">
        <v>0</v>
      </c>
      <c r="O150" s="357">
        <v>0</v>
      </c>
      <c r="P150" s="357">
        <v>0</v>
      </c>
      <c r="Q150" s="357">
        <v>0</v>
      </c>
      <c r="R150" s="357">
        <v>0</v>
      </c>
      <c r="S150" s="357">
        <v>0</v>
      </c>
      <c r="T150" s="357">
        <v>0</v>
      </c>
      <c r="U150" s="357">
        <v>0</v>
      </c>
      <c r="V150" s="357">
        <v>0</v>
      </c>
    </row>
    <row r="151" spans="1:22" s="335" customFormat="1" ht="9" hidden="1" customHeight="1">
      <c r="A151" s="358">
        <v>129</v>
      </c>
      <c r="B151" s="373" t="s">
        <v>237</v>
      </c>
      <c r="C151" s="361" t="s">
        <v>997</v>
      </c>
      <c r="D151" s="361"/>
      <c r="E151" s="357">
        <f t="shared" si="12"/>
        <v>1212878.1399999999</v>
      </c>
      <c r="F151" s="357">
        <v>0</v>
      </c>
      <c r="G151" s="359">
        <v>0</v>
      </c>
      <c r="H151" s="357">
        <v>0</v>
      </c>
      <c r="I151" s="374">
        <v>353</v>
      </c>
      <c r="J151" s="374" t="s">
        <v>109</v>
      </c>
      <c r="K151" s="374">
        <v>3438.05</v>
      </c>
      <c r="L151" s="357">
        <v>1212878.1399999999</v>
      </c>
      <c r="M151" s="357">
        <v>0</v>
      </c>
      <c r="N151" s="362">
        <v>0</v>
      </c>
      <c r="O151" s="357">
        <v>0</v>
      </c>
      <c r="P151" s="357">
        <v>0</v>
      </c>
      <c r="Q151" s="362">
        <v>0</v>
      </c>
      <c r="R151" s="357">
        <v>0</v>
      </c>
      <c r="S151" s="357">
        <v>0</v>
      </c>
      <c r="T151" s="362">
        <v>0</v>
      </c>
      <c r="U151" s="357">
        <v>0</v>
      </c>
      <c r="V151" s="357">
        <v>0</v>
      </c>
    </row>
    <row r="152" spans="1:22" s="335" customFormat="1" ht="9" hidden="1" customHeight="1">
      <c r="A152" s="358">
        <v>130</v>
      </c>
      <c r="B152" s="373" t="s">
        <v>238</v>
      </c>
      <c r="C152" s="361" t="s">
        <v>997</v>
      </c>
      <c r="D152" s="361"/>
      <c r="E152" s="357">
        <f t="shared" si="12"/>
        <v>2819384.29</v>
      </c>
      <c r="F152" s="357">
        <v>0</v>
      </c>
      <c r="G152" s="359">
        <v>0</v>
      </c>
      <c r="H152" s="357">
        <v>0</v>
      </c>
      <c r="I152" s="374">
        <v>1195.3599999999999</v>
      </c>
      <c r="J152" s="374" t="s">
        <v>109</v>
      </c>
      <c r="K152" s="374">
        <v>3438.05</v>
      </c>
      <c r="L152" s="357">
        <v>2819384.29</v>
      </c>
      <c r="M152" s="357">
        <v>0</v>
      </c>
      <c r="N152" s="357">
        <v>0</v>
      </c>
      <c r="O152" s="357">
        <v>0</v>
      </c>
      <c r="P152" s="357">
        <v>0</v>
      </c>
      <c r="Q152" s="357">
        <v>0</v>
      </c>
      <c r="R152" s="357">
        <v>0</v>
      </c>
      <c r="S152" s="357">
        <v>0</v>
      </c>
      <c r="T152" s="357">
        <v>0</v>
      </c>
      <c r="U152" s="357">
        <v>0</v>
      </c>
      <c r="V152" s="357">
        <v>0</v>
      </c>
    </row>
    <row r="153" spans="1:22" s="335" customFormat="1" ht="9" hidden="1" customHeight="1">
      <c r="A153" s="358">
        <v>131</v>
      </c>
      <c r="B153" s="373" t="s">
        <v>233</v>
      </c>
      <c r="C153" s="361" t="s">
        <v>998</v>
      </c>
      <c r="D153" s="361"/>
      <c r="E153" s="357">
        <f t="shared" si="12"/>
        <v>2357499.15</v>
      </c>
      <c r="F153" s="357">
        <v>0</v>
      </c>
      <c r="G153" s="359">
        <v>0</v>
      </c>
      <c r="H153" s="357">
        <v>0</v>
      </c>
      <c r="I153" s="374">
        <v>796</v>
      </c>
      <c r="J153" s="374" t="s">
        <v>109</v>
      </c>
      <c r="K153" s="374">
        <v>3438.05</v>
      </c>
      <c r="L153" s="357">
        <v>2357499.15</v>
      </c>
      <c r="M153" s="357">
        <v>0</v>
      </c>
      <c r="N153" s="357">
        <v>0</v>
      </c>
      <c r="O153" s="357">
        <v>0</v>
      </c>
      <c r="P153" s="357">
        <v>0</v>
      </c>
      <c r="Q153" s="357">
        <v>0</v>
      </c>
      <c r="R153" s="357">
        <v>0</v>
      </c>
      <c r="S153" s="357">
        <v>0</v>
      </c>
      <c r="T153" s="357">
        <v>0</v>
      </c>
      <c r="U153" s="357">
        <v>0</v>
      </c>
      <c r="V153" s="357">
        <v>0</v>
      </c>
    </row>
    <row r="154" spans="1:22" s="335" customFormat="1" ht="9" hidden="1" customHeight="1">
      <c r="A154" s="358">
        <v>132</v>
      </c>
      <c r="B154" s="373" t="s">
        <v>234</v>
      </c>
      <c r="C154" s="361" t="s">
        <v>998</v>
      </c>
      <c r="D154" s="361"/>
      <c r="E154" s="357">
        <f t="shared" si="12"/>
        <v>2153191.38</v>
      </c>
      <c r="F154" s="357">
        <v>0</v>
      </c>
      <c r="G154" s="359">
        <v>0</v>
      </c>
      <c r="H154" s="357">
        <v>0</v>
      </c>
      <c r="I154" s="374">
        <v>774</v>
      </c>
      <c r="J154" s="374" t="s">
        <v>109</v>
      </c>
      <c r="K154" s="374">
        <v>3438.05</v>
      </c>
      <c r="L154" s="357">
        <v>2153191.38</v>
      </c>
      <c r="M154" s="357">
        <v>0</v>
      </c>
      <c r="N154" s="357">
        <v>0</v>
      </c>
      <c r="O154" s="357">
        <v>0</v>
      </c>
      <c r="P154" s="357">
        <v>0</v>
      </c>
      <c r="Q154" s="357">
        <v>0</v>
      </c>
      <c r="R154" s="357">
        <v>0</v>
      </c>
      <c r="S154" s="357">
        <v>0</v>
      </c>
      <c r="T154" s="357">
        <v>0</v>
      </c>
      <c r="U154" s="357">
        <v>0</v>
      </c>
      <c r="V154" s="357">
        <v>0</v>
      </c>
    </row>
    <row r="155" spans="1:22" s="335" customFormat="1" ht="9" hidden="1" customHeight="1">
      <c r="A155" s="358">
        <v>133</v>
      </c>
      <c r="B155" s="373" t="s">
        <v>235</v>
      </c>
      <c r="C155" s="361" t="s">
        <v>998</v>
      </c>
      <c r="D155" s="361"/>
      <c r="E155" s="357">
        <f t="shared" si="12"/>
        <v>802154.2</v>
      </c>
      <c r="F155" s="357">
        <v>0</v>
      </c>
      <c r="G155" s="359">
        <v>0</v>
      </c>
      <c r="H155" s="357">
        <v>0</v>
      </c>
      <c r="I155" s="374">
        <v>221</v>
      </c>
      <c r="J155" s="374" t="s">
        <v>109</v>
      </c>
      <c r="K155" s="374">
        <v>3438.05</v>
      </c>
      <c r="L155" s="357">
        <v>802154.2</v>
      </c>
      <c r="M155" s="357">
        <v>0</v>
      </c>
      <c r="N155" s="357">
        <v>0</v>
      </c>
      <c r="O155" s="357">
        <v>0</v>
      </c>
      <c r="P155" s="357">
        <v>0</v>
      </c>
      <c r="Q155" s="357">
        <v>0</v>
      </c>
      <c r="R155" s="357">
        <v>0</v>
      </c>
      <c r="S155" s="357">
        <v>0</v>
      </c>
      <c r="T155" s="357">
        <v>0</v>
      </c>
      <c r="U155" s="357">
        <v>0</v>
      </c>
      <c r="V155" s="357">
        <v>0</v>
      </c>
    </row>
    <row r="156" spans="1:22" ht="9" hidden="1" customHeight="1">
      <c r="A156" s="358">
        <v>134</v>
      </c>
      <c r="B156" s="371" t="s">
        <v>1013</v>
      </c>
      <c r="C156" s="361"/>
      <c r="D156" s="361"/>
      <c r="E156" s="357">
        <f t="shared" si="12"/>
        <v>424035.08</v>
      </c>
      <c r="F156" s="357">
        <v>424035.08</v>
      </c>
      <c r="G156" s="359">
        <v>0</v>
      </c>
      <c r="H156" s="357">
        <v>0</v>
      </c>
      <c r="I156" s="374">
        <v>0</v>
      </c>
      <c r="J156" s="374"/>
      <c r="K156" s="374"/>
      <c r="L156" s="357">
        <v>0</v>
      </c>
      <c r="M156" s="357">
        <v>0</v>
      </c>
      <c r="N156" s="357">
        <v>0</v>
      </c>
      <c r="O156" s="357">
        <v>0</v>
      </c>
      <c r="P156" s="357">
        <v>0</v>
      </c>
      <c r="Q156" s="357">
        <v>0</v>
      </c>
      <c r="R156" s="357">
        <v>0</v>
      </c>
      <c r="S156" s="357">
        <v>0</v>
      </c>
      <c r="T156" s="357">
        <v>0</v>
      </c>
      <c r="U156" s="357">
        <v>0</v>
      </c>
      <c r="V156" s="357">
        <v>0</v>
      </c>
    </row>
    <row r="157" spans="1:22" ht="9" hidden="1" customHeight="1">
      <c r="A157" s="358">
        <v>135</v>
      </c>
      <c r="B157" s="369" t="s">
        <v>1141</v>
      </c>
      <c r="C157" s="361"/>
      <c r="D157" s="361"/>
      <c r="E157" s="357">
        <f t="shared" ref="E157:E158" si="13">F157+H157+L157+N157+P157+R157+S157+T157+U157+V157</f>
        <v>246468</v>
      </c>
      <c r="F157" s="357">
        <v>246468</v>
      </c>
      <c r="G157" s="359">
        <v>0</v>
      </c>
      <c r="H157" s="357">
        <v>0</v>
      </c>
      <c r="I157" s="374">
        <v>0</v>
      </c>
      <c r="J157" s="374"/>
      <c r="K157" s="374"/>
      <c r="L157" s="357">
        <v>0</v>
      </c>
      <c r="M157" s="357">
        <v>0</v>
      </c>
      <c r="N157" s="357">
        <v>0</v>
      </c>
      <c r="O157" s="357">
        <v>0</v>
      </c>
      <c r="P157" s="357">
        <v>0</v>
      </c>
      <c r="Q157" s="357">
        <v>0</v>
      </c>
      <c r="R157" s="357">
        <v>0</v>
      </c>
      <c r="S157" s="357">
        <v>0</v>
      </c>
      <c r="T157" s="357">
        <v>0</v>
      </c>
      <c r="U157" s="357">
        <v>0</v>
      </c>
      <c r="V157" s="357">
        <v>0</v>
      </c>
    </row>
    <row r="158" spans="1:22" ht="9" hidden="1" customHeight="1">
      <c r="A158" s="358">
        <v>136</v>
      </c>
      <c r="B158" s="369" t="s">
        <v>1095</v>
      </c>
      <c r="C158" s="361"/>
      <c r="D158" s="361"/>
      <c r="E158" s="357">
        <f t="shared" si="13"/>
        <v>755106</v>
      </c>
      <c r="F158" s="357">
        <v>0</v>
      </c>
      <c r="G158" s="359">
        <v>0</v>
      </c>
      <c r="H158" s="357">
        <v>0</v>
      </c>
      <c r="I158" s="374">
        <v>0</v>
      </c>
      <c r="J158" s="374"/>
      <c r="K158" s="374"/>
      <c r="L158" s="357">
        <v>0</v>
      </c>
      <c r="M158" s="357">
        <v>990.1</v>
      </c>
      <c r="N158" s="357">
        <v>755106</v>
      </c>
      <c r="O158" s="357">
        <v>0</v>
      </c>
      <c r="P158" s="357">
        <v>0</v>
      </c>
      <c r="Q158" s="357">
        <v>0</v>
      </c>
      <c r="R158" s="357">
        <v>0</v>
      </c>
      <c r="S158" s="357">
        <v>0</v>
      </c>
      <c r="T158" s="357">
        <v>0</v>
      </c>
      <c r="U158" s="357">
        <v>0</v>
      </c>
      <c r="V158" s="357">
        <v>0</v>
      </c>
    </row>
    <row r="159" spans="1:22" ht="12.75" hidden="1" customHeight="1">
      <c r="A159" s="550" t="s">
        <v>239</v>
      </c>
      <c r="B159" s="550"/>
      <c r="C159" s="550"/>
      <c r="D159" s="550"/>
      <c r="E159" s="550"/>
      <c r="F159" s="550"/>
      <c r="G159" s="550"/>
      <c r="H159" s="550"/>
      <c r="I159" s="550"/>
      <c r="J159" s="550"/>
      <c r="K159" s="550"/>
      <c r="L159" s="550"/>
      <c r="M159" s="550"/>
      <c r="N159" s="550"/>
      <c r="O159" s="550"/>
      <c r="P159" s="550"/>
      <c r="Q159" s="550"/>
      <c r="R159" s="550"/>
      <c r="S159" s="550"/>
      <c r="T159" s="550"/>
      <c r="U159" s="550"/>
      <c r="V159" s="550"/>
    </row>
    <row r="160" spans="1:22" ht="24" hidden="1" customHeight="1">
      <c r="A160" s="559" t="s">
        <v>240</v>
      </c>
      <c r="B160" s="559"/>
      <c r="C160" s="355"/>
      <c r="D160" s="355"/>
      <c r="E160" s="357">
        <f t="shared" ref="E160:V160" si="14">SUM(E161:E163)</f>
        <v>5911432.4600000009</v>
      </c>
      <c r="F160" s="357">
        <f t="shared" si="14"/>
        <v>1253515.82</v>
      </c>
      <c r="G160" s="359">
        <f t="shared" si="14"/>
        <v>0</v>
      </c>
      <c r="H160" s="357">
        <f t="shared" si="14"/>
        <v>0</v>
      </c>
      <c r="I160" s="357">
        <f t="shared" si="14"/>
        <v>1587</v>
      </c>
      <c r="J160" s="357">
        <f t="shared" si="14"/>
        <v>0</v>
      </c>
      <c r="K160" s="357">
        <f t="shared" si="14"/>
        <v>6045.32</v>
      </c>
      <c r="L160" s="357">
        <f t="shared" si="14"/>
        <v>4657916.6400000006</v>
      </c>
      <c r="M160" s="357">
        <f t="shared" si="14"/>
        <v>0</v>
      </c>
      <c r="N160" s="357">
        <f t="shared" si="14"/>
        <v>0</v>
      </c>
      <c r="O160" s="357">
        <f t="shared" si="14"/>
        <v>0</v>
      </c>
      <c r="P160" s="357">
        <f t="shared" si="14"/>
        <v>0</v>
      </c>
      <c r="Q160" s="357">
        <f t="shared" si="14"/>
        <v>0</v>
      </c>
      <c r="R160" s="357">
        <f t="shared" si="14"/>
        <v>0</v>
      </c>
      <c r="S160" s="357">
        <f t="shared" si="14"/>
        <v>0</v>
      </c>
      <c r="T160" s="357">
        <f t="shared" si="14"/>
        <v>0</v>
      </c>
      <c r="U160" s="357">
        <f t="shared" si="14"/>
        <v>0</v>
      </c>
      <c r="V160" s="357">
        <f t="shared" si="14"/>
        <v>0</v>
      </c>
    </row>
    <row r="161" spans="1:22" s="335" customFormat="1" ht="9.75" hidden="1" customHeight="1">
      <c r="A161" s="358">
        <v>137</v>
      </c>
      <c r="B161" s="371" t="s">
        <v>242</v>
      </c>
      <c r="C161" s="355" t="s">
        <v>998</v>
      </c>
      <c r="D161" s="375"/>
      <c r="E161" s="357">
        <f>F161+H161+L161+N161+P161+R161+S161+T161+U161+V161</f>
        <v>2426022.9500000002</v>
      </c>
      <c r="F161" s="357">
        <v>0</v>
      </c>
      <c r="G161" s="359">
        <v>0</v>
      </c>
      <c r="H161" s="357">
        <v>0</v>
      </c>
      <c r="I161" s="362">
        <v>937</v>
      </c>
      <c r="J161" s="362" t="s">
        <v>109</v>
      </c>
      <c r="K161" s="362">
        <v>3438.05</v>
      </c>
      <c r="L161" s="357">
        <v>2426022.9500000002</v>
      </c>
      <c r="M161" s="357">
        <v>0</v>
      </c>
      <c r="N161" s="357">
        <v>0</v>
      </c>
      <c r="O161" s="357">
        <v>0</v>
      </c>
      <c r="P161" s="357">
        <v>0</v>
      </c>
      <c r="Q161" s="357">
        <v>0</v>
      </c>
      <c r="R161" s="357">
        <v>0</v>
      </c>
      <c r="S161" s="357">
        <v>0</v>
      </c>
      <c r="T161" s="357">
        <v>0</v>
      </c>
      <c r="U161" s="357">
        <v>0</v>
      </c>
      <c r="V161" s="357">
        <v>0</v>
      </c>
    </row>
    <row r="162" spans="1:22" s="335" customFormat="1" ht="9" hidden="1" customHeight="1">
      <c r="A162" s="358">
        <v>138</v>
      </c>
      <c r="B162" s="371" t="s">
        <v>243</v>
      </c>
      <c r="C162" s="355" t="s">
        <v>997</v>
      </c>
      <c r="D162" s="375"/>
      <c r="E162" s="357">
        <f>F162+H162+L162+N162+P162+R162+S162+T162+U162+V162</f>
        <v>2231893.69</v>
      </c>
      <c r="F162" s="357">
        <v>0</v>
      </c>
      <c r="G162" s="359">
        <v>0</v>
      </c>
      <c r="H162" s="357">
        <v>0</v>
      </c>
      <c r="I162" s="357">
        <v>650</v>
      </c>
      <c r="J162" s="357" t="s">
        <v>108</v>
      </c>
      <c r="K162" s="362">
        <v>2022.07</v>
      </c>
      <c r="L162" s="357">
        <v>2231893.69</v>
      </c>
      <c r="M162" s="357">
        <v>0</v>
      </c>
      <c r="N162" s="357">
        <v>0</v>
      </c>
      <c r="O162" s="357">
        <v>0</v>
      </c>
      <c r="P162" s="357">
        <v>0</v>
      </c>
      <c r="Q162" s="357">
        <v>0</v>
      </c>
      <c r="R162" s="357">
        <v>0</v>
      </c>
      <c r="S162" s="357">
        <v>0</v>
      </c>
      <c r="T162" s="357">
        <v>0</v>
      </c>
      <c r="U162" s="357">
        <v>0</v>
      </c>
      <c r="V162" s="357">
        <v>0</v>
      </c>
    </row>
    <row r="163" spans="1:22" ht="9" hidden="1" customHeight="1">
      <c r="A163" s="358">
        <v>139</v>
      </c>
      <c r="B163" s="371" t="s">
        <v>245</v>
      </c>
      <c r="C163" s="355" t="s">
        <v>1000</v>
      </c>
      <c r="D163" s="375"/>
      <c r="E163" s="357">
        <f>F163+H163+L163+N163+P163+R163+S163+T163+U163+V163</f>
        <v>1253515.82</v>
      </c>
      <c r="F163" s="357">
        <v>1253515.82</v>
      </c>
      <c r="G163" s="359">
        <v>0</v>
      </c>
      <c r="H163" s="357">
        <v>0</v>
      </c>
      <c r="I163" s="357">
        <v>0</v>
      </c>
      <c r="J163" s="357" t="s">
        <v>246</v>
      </c>
      <c r="K163" s="357">
        <f>(190+170+200)*1.045</f>
        <v>585.19999999999993</v>
      </c>
      <c r="L163" s="357">
        <v>0</v>
      </c>
      <c r="M163" s="357">
        <v>0</v>
      </c>
      <c r="N163" s="357">
        <v>0</v>
      </c>
      <c r="O163" s="357">
        <v>0</v>
      </c>
      <c r="P163" s="357">
        <v>0</v>
      </c>
      <c r="Q163" s="357">
        <v>0</v>
      </c>
      <c r="R163" s="357">
        <v>0</v>
      </c>
      <c r="S163" s="357">
        <v>0</v>
      </c>
      <c r="T163" s="357">
        <v>0</v>
      </c>
      <c r="U163" s="357">
        <v>0</v>
      </c>
      <c r="V163" s="357">
        <v>0</v>
      </c>
    </row>
    <row r="164" spans="1:22" hidden="1">
      <c r="A164" s="550" t="s">
        <v>248</v>
      </c>
      <c r="B164" s="550"/>
      <c r="C164" s="550"/>
      <c r="D164" s="550"/>
      <c r="E164" s="550"/>
      <c r="F164" s="550"/>
      <c r="G164" s="550"/>
      <c r="H164" s="550"/>
      <c r="I164" s="550"/>
      <c r="J164" s="550"/>
      <c r="K164" s="550"/>
      <c r="L164" s="550"/>
      <c r="M164" s="550"/>
      <c r="N164" s="550"/>
      <c r="O164" s="550"/>
      <c r="P164" s="550"/>
      <c r="Q164" s="550"/>
      <c r="R164" s="550"/>
      <c r="S164" s="550"/>
      <c r="T164" s="550"/>
      <c r="U164" s="550"/>
      <c r="V164" s="550"/>
    </row>
    <row r="165" spans="1:22" ht="24.75" hidden="1" customHeight="1">
      <c r="A165" s="559" t="s">
        <v>247</v>
      </c>
      <c r="B165" s="559"/>
      <c r="C165" s="355"/>
      <c r="D165" s="355"/>
      <c r="E165" s="357">
        <f t="shared" ref="E165:V165" si="15">SUM(E166:E171)</f>
        <v>12329525.540000001</v>
      </c>
      <c r="F165" s="357">
        <f t="shared" si="15"/>
        <v>0</v>
      </c>
      <c r="G165" s="359">
        <f t="shared" si="15"/>
        <v>0</v>
      </c>
      <c r="H165" s="357">
        <f t="shared" si="15"/>
        <v>0</v>
      </c>
      <c r="I165" s="357">
        <f t="shared" si="15"/>
        <v>4964.1000000000004</v>
      </c>
      <c r="J165" s="357">
        <f t="shared" si="15"/>
        <v>0</v>
      </c>
      <c r="K165" s="357">
        <f t="shared" si="15"/>
        <v>16380.36</v>
      </c>
      <c r="L165" s="357">
        <f t="shared" si="15"/>
        <v>12329525.540000001</v>
      </c>
      <c r="M165" s="357">
        <f t="shared" si="15"/>
        <v>0</v>
      </c>
      <c r="N165" s="357">
        <f t="shared" si="15"/>
        <v>0</v>
      </c>
      <c r="O165" s="357">
        <f t="shared" si="15"/>
        <v>0</v>
      </c>
      <c r="P165" s="357">
        <f t="shared" si="15"/>
        <v>0</v>
      </c>
      <c r="Q165" s="357">
        <f t="shared" si="15"/>
        <v>0</v>
      </c>
      <c r="R165" s="357">
        <f t="shared" si="15"/>
        <v>0</v>
      </c>
      <c r="S165" s="357">
        <f t="shared" si="15"/>
        <v>0</v>
      </c>
      <c r="T165" s="357">
        <f t="shared" si="15"/>
        <v>0</v>
      </c>
      <c r="U165" s="357">
        <f t="shared" si="15"/>
        <v>0</v>
      </c>
      <c r="V165" s="357">
        <f t="shared" si="15"/>
        <v>0</v>
      </c>
    </row>
    <row r="166" spans="1:22" ht="9" hidden="1" customHeight="1">
      <c r="A166" s="358">
        <v>140</v>
      </c>
      <c r="B166" s="371" t="s">
        <v>250</v>
      </c>
      <c r="C166" s="355" t="s">
        <v>998</v>
      </c>
      <c r="D166" s="355"/>
      <c r="E166" s="357">
        <f t="shared" ref="E166:E171" si="16">F166+H166+L166+N166+P166+R166+S166+T166+U166+V166</f>
        <v>1028545.8</v>
      </c>
      <c r="F166" s="357">
        <v>0</v>
      </c>
      <c r="G166" s="359">
        <v>0</v>
      </c>
      <c r="H166" s="357">
        <v>0</v>
      </c>
      <c r="I166" s="357">
        <v>364</v>
      </c>
      <c r="J166" s="357" t="s">
        <v>109</v>
      </c>
      <c r="K166" s="357">
        <v>3438.05</v>
      </c>
      <c r="L166" s="357">
        <v>1028545.8</v>
      </c>
      <c r="M166" s="357">
        <v>0</v>
      </c>
      <c r="N166" s="357">
        <v>0</v>
      </c>
      <c r="O166" s="357">
        <v>0</v>
      </c>
      <c r="P166" s="357">
        <v>0</v>
      </c>
      <c r="Q166" s="357">
        <v>0</v>
      </c>
      <c r="R166" s="357">
        <v>0</v>
      </c>
      <c r="S166" s="357">
        <v>0</v>
      </c>
      <c r="T166" s="357">
        <v>0</v>
      </c>
      <c r="U166" s="357">
        <v>0</v>
      </c>
      <c r="V166" s="357">
        <v>0</v>
      </c>
    </row>
    <row r="167" spans="1:22" ht="9" hidden="1" customHeight="1">
      <c r="A167" s="358">
        <v>141</v>
      </c>
      <c r="B167" s="371" t="s">
        <v>252</v>
      </c>
      <c r="C167" s="355" t="s">
        <v>998</v>
      </c>
      <c r="D167" s="355"/>
      <c r="E167" s="357">
        <f t="shared" si="16"/>
        <v>1162411.06</v>
      </c>
      <c r="F167" s="357">
        <v>0</v>
      </c>
      <c r="G167" s="359">
        <v>0</v>
      </c>
      <c r="H167" s="357">
        <v>0</v>
      </c>
      <c r="I167" s="357">
        <v>482</v>
      </c>
      <c r="J167" s="357" t="s">
        <v>109</v>
      </c>
      <c r="K167" s="357">
        <v>3438.05</v>
      </c>
      <c r="L167" s="357">
        <v>1162411.06</v>
      </c>
      <c r="M167" s="357">
        <v>0</v>
      </c>
      <c r="N167" s="357">
        <v>0</v>
      </c>
      <c r="O167" s="357">
        <v>0</v>
      </c>
      <c r="P167" s="357">
        <v>0</v>
      </c>
      <c r="Q167" s="357">
        <v>0</v>
      </c>
      <c r="R167" s="357">
        <v>0</v>
      </c>
      <c r="S167" s="357">
        <v>0</v>
      </c>
      <c r="T167" s="357">
        <v>0</v>
      </c>
      <c r="U167" s="357">
        <v>0</v>
      </c>
      <c r="V167" s="357">
        <v>0</v>
      </c>
    </row>
    <row r="168" spans="1:22" ht="9" hidden="1" customHeight="1">
      <c r="A168" s="358">
        <v>142</v>
      </c>
      <c r="B168" s="371" t="s">
        <v>251</v>
      </c>
      <c r="C168" s="355" t="s">
        <v>998</v>
      </c>
      <c r="D168" s="355"/>
      <c r="E168" s="357">
        <f t="shared" si="16"/>
        <v>1179662.1200000001</v>
      </c>
      <c r="F168" s="357">
        <v>0</v>
      </c>
      <c r="G168" s="359">
        <v>0</v>
      </c>
      <c r="H168" s="357">
        <v>0</v>
      </c>
      <c r="I168" s="357">
        <v>482</v>
      </c>
      <c r="J168" s="357" t="s">
        <v>109</v>
      </c>
      <c r="K168" s="357">
        <v>3438.05</v>
      </c>
      <c r="L168" s="357">
        <v>1179662.1200000001</v>
      </c>
      <c r="M168" s="357">
        <v>0</v>
      </c>
      <c r="N168" s="357">
        <v>0</v>
      </c>
      <c r="O168" s="357">
        <v>0</v>
      </c>
      <c r="P168" s="357">
        <v>0</v>
      </c>
      <c r="Q168" s="357">
        <v>0</v>
      </c>
      <c r="R168" s="357">
        <v>0</v>
      </c>
      <c r="S168" s="357">
        <v>0</v>
      </c>
      <c r="T168" s="357">
        <v>0</v>
      </c>
      <c r="U168" s="357">
        <v>0</v>
      </c>
      <c r="V168" s="357">
        <v>0</v>
      </c>
    </row>
    <row r="169" spans="1:22" s="335" customFormat="1" ht="9" hidden="1" customHeight="1">
      <c r="A169" s="358">
        <v>143</v>
      </c>
      <c r="B169" s="371" t="s">
        <v>253</v>
      </c>
      <c r="C169" s="355" t="s">
        <v>997</v>
      </c>
      <c r="D169" s="355"/>
      <c r="E169" s="357">
        <f t="shared" si="16"/>
        <v>2548444.66</v>
      </c>
      <c r="F169" s="357">
        <v>0</v>
      </c>
      <c r="G169" s="359">
        <v>0</v>
      </c>
      <c r="H169" s="357">
        <v>0</v>
      </c>
      <c r="I169" s="357">
        <v>998.92</v>
      </c>
      <c r="J169" s="357" t="s">
        <v>108</v>
      </c>
      <c r="K169" s="357">
        <v>2022.07</v>
      </c>
      <c r="L169" s="357">
        <v>2548444.66</v>
      </c>
      <c r="M169" s="357">
        <v>0</v>
      </c>
      <c r="N169" s="357">
        <v>0</v>
      </c>
      <c r="O169" s="357">
        <v>0</v>
      </c>
      <c r="P169" s="357">
        <v>0</v>
      </c>
      <c r="Q169" s="357">
        <v>0</v>
      </c>
      <c r="R169" s="357">
        <v>0</v>
      </c>
      <c r="S169" s="357">
        <v>0</v>
      </c>
      <c r="T169" s="357">
        <v>0</v>
      </c>
      <c r="U169" s="357">
        <v>0</v>
      </c>
      <c r="V169" s="357">
        <v>0</v>
      </c>
    </row>
    <row r="170" spans="1:22" s="335" customFormat="1" ht="9" hidden="1" customHeight="1">
      <c r="A170" s="358">
        <v>144</v>
      </c>
      <c r="B170" s="371" t="s">
        <v>254</v>
      </c>
      <c r="C170" s="355" t="s">
        <v>997</v>
      </c>
      <c r="D170" s="355"/>
      <c r="E170" s="357">
        <f t="shared" si="16"/>
        <v>1753026.28</v>
      </c>
      <c r="F170" s="357">
        <v>0</v>
      </c>
      <c r="G170" s="359">
        <v>0</v>
      </c>
      <c r="H170" s="357">
        <v>0</v>
      </c>
      <c r="I170" s="357">
        <v>581</v>
      </c>
      <c r="J170" s="357" t="s">
        <v>108</v>
      </c>
      <c r="K170" s="357">
        <v>2022.07</v>
      </c>
      <c r="L170" s="357">
        <v>1753026.28</v>
      </c>
      <c r="M170" s="357">
        <v>0</v>
      </c>
      <c r="N170" s="357">
        <v>0</v>
      </c>
      <c r="O170" s="357">
        <v>0</v>
      </c>
      <c r="P170" s="357">
        <v>0</v>
      </c>
      <c r="Q170" s="357">
        <v>0</v>
      </c>
      <c r="R170" s="357">
        <v>0</v>
      </c>
      <c r="S170" s="357">
        <v>0</v>
      </c>
      <c r="T170" s="357">
        <v>0</v>
      </c>
      <c r="U170" s="357">
        <v>0</v>
      </c>
      <c r="V170" s="357">
        <v>0</v>
      </c>
    </row>
    <row r="171" spans="1:22" s="335" customFormat="1" ht="9" hidden="1" customHeight="1">
      <c r="A171" s="358">
        <v>145</v>
      </c>
      <c r="B171" s="371" t="s">
        <v>255</v>
      </c>
      <c r="C171" s="355" t="s">
        <v>997</v>
      </c>
      <c r="D171" s="355"/>
      <c r="E171" s="357">
        <f t="shared" si="16"/>
        <v>4657435.62</v>
      </c>
      <c r="F171" s="357">
        <v>0</v>
      </c>
      <c r="G171" s="359">
        <v>0</v>
      </c>
      <c r="H171" s="357">
        <v>0</v>
      </c>
      <c r="I171" s="357">
        <v>2056.1799999999998</v>
      </c>
      <c r="J171" s="357" t="s">
        <v>108</v>
      </c>
      <c r="K171" s="357">
        <v>2022.07</v>
      </c>
      <c r="L171" s="357">
        <v>4657435.62</v>
      </c>
      <c r="M171" s="357">
        <v>0</v>
      </c>
      <c r="N171" s="357">
        <v>0</v>
      </c>
      <c r="O171" s="357">
        <v>0</v>
      </c>
      <c r="P171" s="357">
        <v>0</v>
      </c>
      <c r="Q171" s="357">
        <v>0</v>
      </c>
      <c r="R171" s="357">
        <v>0</v>
      </c>
      <c r="S171" s="357">
        <v>0</v>
      </c>
      <c r="T171" s="357">
        <v>0</v>
      </c>
      <c r="U171" s="357">
        <v>0</v>
      </c>
      <c r="V171" s="357">
        <v>0</v>
      </c>
    </row>
    <row r="172" spans="1:22" ht="12.75" hidden="1" customHeight="1">
      <c r="A172" s="570" t="s">
        <v>256</v>
      </c>
      <c r="B172" s="570"/>
      <c r="C172" s="570"/>
      <c r="D172" s="570"/>
      <c r="E172" s="570"/>
      <c r="F172" s="570"/>
      <c r="G172" s="570"/>
      <c r="H172" s="570"/>
      <c r="I172" s="570"/>
      <c r="J172" s="570"/>
      <c r="K172" s="570"/>
      <c r="L172" s="570"/>
      <c r="M172" s="570"/>
      <c r="N172" s="570"/>
      <c r="O172" s="570"/>
      <c r="P172" s="570"/>
      <c r="Q172" s="570"/>
      <c r="R172" s="570"/>
      <c r="S172" s="570"/>
      <c r="T172" s="570"/>
      <c r="U172" s="570"/>
      <c r="V172" s="570"/>
    </row>
    <row r="173" spans="1:22" ht="20.25" hidden="1" customHeight="1">
      <c r="A173" s="577" t="s">
        <v>259</v>
      </c>
      <c r="B173" s="577"/>
      <c r="C173" s="376"/>
      <c r="D173" s="377"/>
      <c r="E173" s="378">
        <f t="shared" ref="E173:V173" si="17">SUM(E174:E175)</f>
        <v>5951684.4000000004</v>
      </c>
      <c r="F173" s="378">
        <f t="shared" si="17"/>
        <v>0</v>
      </c>
      <c r="G173" s="379">
        <f t="shared" si="17"/>
        <v>0</v>
      </c>
      <c r="H173" s="378">
        <f t="shared" si="17"/>
        <v>0</v>
      </c>
      <c r="I173" s="378">
        <f t="shared" si="17"/>
        <v>1885.73</v>
      </c>
      <c r="J173" s="378">
        <f t="shared" si="17"/>
        <v>0</v>
      </c>
      <c r="K173" s="378">
        <f t="shared" si="17"/>
        <v>5460.12</v>
      </c>
      <c r="L173" s="378">
        <f t="shared" si="17"/>
        <v>5951684.4000000004</v>
      </c>
      <c r="M173" s="378">
        <f t="shared" si="17"/>
        <v>0</v>
      </c>
      <c r="N173" s="378">
        <f t="shared" si="17"/>
        <v>0</v>
      </c>
      <c r="O173" s="378">
        <f t="shared" si="17"/>
        <v>0</v>
      </c>
      <c r="P173" s="378">
        <f t="shared" si="17"/>
        <v>0</v>
      </c>
      <c r="Q173" s="378">
        <f t="shared" si="17"/>
        <v>0</v>
      </c>
      <c r="R173" s="378">
        <f t="shared" si="17"/>
        <v>0</v>
      </c>
      <c r="S173" s="378">
        <f t="shared" si="17"/>
        <v>0</v>
      </c>
      <c r="T173" s="378">
        <f t="shared" si="17"/>
        <v>0</v>
      </c>
      <c r="U173" s="378">
        <f t="shared" si="17"/>
        <v>0</v>
      </c>
      <c r="V173" s="378">
        <f t="shared" si="17"/>
        <v>0</v>
      </c>
    </row>
    <row r="174" spans="1:22" ht="9" hidden="1" customHeight="1">
      <c r="A174" s="380">
        <v>146</v>
      </c>
      <c r="B174" s="381" t="s">
        <v>257</v>
      </c>
      <c r="C174" s="382" t="s">
        <v>998</v>
      </c>
      <c r="D174" s="383"/>
      <c r="E174" s="357">
        <f>F174+H174+L174+N174+P174+R174+S174+T174+U174+V174</f>
        <v>3232697.2</v>
      </c>
      <c r="F174" s="384">
        <v>0</v>
      </c>
      <c r="G174" s="379">
        <v>0</v>
      </c>
      <c r="H174" s="384">
        <v>0</v>
      </c>
      <c r="I174" s="384">
        <v>1114.4000000000001</v>
      </c>
      <c r="J174" s="357" t="s">
        <v>109</v>
      </c>
      <c r="K174" s="357">
        <v>3438.05</v>
      </c>
      <c r="L174" s="357">
        <v>3232697.2</v>
      </c>
      <c r="M174" s="384">
        <v>0</v>
      </c>
      <c r="N174" s="384">
        <v>0</v>
      </c>
      <c r="O174" s="384">
        <v>0</v>
      </c>
      <c r="P174" s="384">
        <v>0</v>
      </c>
      <c r="Q174" s="384">
        <v>0</v>
      </c>
      <c r="R174" s="384">
        <v>0</v>
      </c>
      <c r="S174" s="384">
        <v>0</v>
      </c>
      <c r="T174" s="384">
        <v>0</v>
      </c>
      <c r="U174" s="384">
        <v>0</v>
      </c>
      <c r="V174" s="384">
        <v>0</v>
      </c>
    </row>
    <row r="175" spans="1:22" ht="9" hidden="1" customHeight="1">
      <c r="A175" s="380">
        <v>147</v>
      </c>
      <c r="B175" s="381" t="s">
        <v>288</v>
      </c>
      <c r="C175" s="382" t="s">
        <v>997</v>
      </c>
      <c r="D175" s="383"/>
      <c r="E175" s="357">
        <f>F175+H175+L175+N175+P175+R175+S175+T175+U175+V175</f>
        <v>2718987.2</v>
      </c>
      <c r="F175" s="384">
        <v>0</v>
      </c>
      <c r="G175" s="379">
        <v>0</v>
      </c>
      <c r="H175" s="384">
        <v>0</v>
      </c>
      <c r="I175" s="384">
        <v>771.33</v>
      </c>
      <c r="J175" s="357" t="s">
        <v>108</v>
      </c>
      <c r="K175" s="357">
        <v>2022.07</v>
      </c>
      <c r="L175" s="357">
        <v>2718987.2</v>
      </c>
      <c r="M175" s="384">
        <v>0</v>
      </c>
      <c r="N175" s="384">
        <v>0</v>
      </c>
      <c r="O175" s="384">
        <v>0</v>
      </c>
      <c r="P175" s="384">
        <v>0</v>
      </c>
      <c r="Q175" s="384">
        <v>0</v>
      </c>
      <c r="R175" s="384">
        <v>0</v>
      </c>
      <c r="S175" s="384">
        <v>0</v>
      </c>
      <c r="T175" s="384">
        <v>0</v>
      </c>
      <c r="U175" s="384">
        <v>0</v>
      </c>
      <c r="V175" s="384">
        <v>0</v>
      </c>
    </row>
    <row r="176" spans="1:22" ht="12.75" hidden="1" customHeight="1">
      <c r="A176" s="550" t="s">
        <v>392</v>
      </c>
      <c r="B176" s="550"/>
      <c r="C176" s="550"/>
      <c r="D176" s="550"/>
      <c r="E176" s="550"/>
      <c r="F176" s="550"/>
      <c r="G176" s="550"/>
      <c r="H176" s="550"/>
      <c r="I176" s="550"/>
      <c r="J176" s="550"/>
      <c r="K176" s="550"/>
      <c r="L176" s="550"/>
      <c r="M176" s="550"/>
      <c r="N176" s="550"/>
      <c r="O176" s="550"/>
      <c r="P176" s="550"/>
      <c r="Q176" s="550"/>
      <c r="R176" s="550"/>
      <c r="S176" s="550"/>
      <c r="T176" s="550"/>
      <c r="U176" s="550"/>
      <c r="V176" s="550"/>
    </row>
    <row r="177" spans="1:22" ht="21.75" hidden="1" customHeight="1">
      <c r="A177" s="559" t="s">
        <v>260</v>
      </c>
      <c r="B177" s="559"/>
      <c r="C177" s="355"/>
      <c r="D177" s="355"/>
      <c r="E177" s="357">
        <f>SUM(E178:E181)</f>
        <v>4700387.95</v>
      </c>
      <c r="F177" s="357">
        <f t="shared" ref="F177:V177" si="18">SUM(F178:F181)</f>
        <v>0</v>
      </c>
      <c r="G177" s="359">
        <f t="shared" si="18"/>
        <v>0</v>
      </c>
      <c r="H177" s="357">
        <f t="shared" si="18"/>
        <v>0</v>
      </c>
      <c r="I177" s="357">
        <f t="shared" si="18"/>
        <v>1396.3</v>
      </c>
      <c r="J177" s="357">
        <f t="shared" si="18"/>
        <v>0</v>
      </c>
      <c r="K177" s="357">
        <f t="shared" si="18"/>
        <v>13752.2</v>
      </c>
      <c r="L177" s="357">
        <f t="shared" si="18"/>
        <v>4700387.95</v>
      </c>
      <c r="M177" s="357">
        <f t="shared" si="18"/>
        <v>0</v>
      </c>
      <c r="N177" s="357">
        <f t="shared" si="18"/>
        <v>0</v>
      </c>
      <c r="O177" s="357">
        <f t="shared" si="18"/>
        <v>0</v>
      </c>
      <c r="P177" s="357">
        <f t="shared" si="18"/>
        <v>0</v>
      </c>
      <c r="Q177" s="357">
        <f t="shared" si="18"/>
        <v>0</v>
      </c>
      <c r="R177" s="357">
        <f t="shared" si="18"/>
        <v>0</v>
      </c>
      <c r="S177" s="357">
        <f t="shared" si="18"/>
        <v>0</v>
      </c>
      <c r="T177" s="357">
        <f t="shared" si="18"/>
        <v>0</v>
      </c>
      <c r="U177" s="357">
        <f t="shared" si="18"/>
        <v>0</v>
      </c>
      <c r="V177" s="357">
        <f t="shared" si="18"/>
        <v>0</v>
      </c>
    </row>
    <row r="178" spans="1:22" ht="9" hidden="1" customHeight="1">
      <c r="A178" s="358">
        <v>148</v>
      </c>
      <c r="B178" s="371" t="s">
        <v>267</v>
      </c>
      <c r="C178" s="355" t="s">
        <v>998</v>
      </c>
      <c r="D178" s="355"/>
      <c r="E178" s="357">
        <f>F178+H178+L178+N178+P178+R178+S178+T178+U178+V178</f>
        <v>1455569.4</v>
      </c>
      <c r="F178" s="357">
        <v>0</v>
      </c>
      <c r="G178" s="359">
        <v>0</v>
      </c>
      <c r="H178" s="357">
        <v>0</v>
      </c>
      <c r="I178" s="357">
        <v>473</v>
      </c>
      <c r="J178" s="357" t="s">
        <v>109</v>
      </c>
      <c r="K178" s="357">
        <v>3438.05</v>
      </c>
      <c r="L178" s="357">
        <v>1455569.4</v>
      </c>
      <c r="M178" s="357">
        <v>0</v>
      </c>
      <c r="N178" s="357">
        <v>0</v>
      </c>
      <c r="O178" s="357">
        <v>0</v>
      </c>
      <c r="P178" s="357">
        <v>0</v>
      </c>
      <c r="Q178" s="357">
        <v>0</v>
      </c>
      <c r="R178" s="357">
        <v>0</v>
      </c>
      <c r="S178" s="357">
        <v>0</v>
      </c>
      <c r="T178" s="357">
        <v>0</v>
      </c>
      <c r="U178" s="357">
        <v>0</v>
      </c>
      <c r="V178" s="357">
        <v>0</v>
      </c>
    </row>
    <row r="179" spans="1:22" ht="9" hidden="1" customHeight="1">
      <c r="A179" s="358">
        <v>149</v>
      </c>
      <c r="B179" s="371" t="s">
        <v>265</v>
      </c>
      <c r="C179" s="355" t="s">
        <v>998</v>
      </c>
      <c r="D179" s="355"/>
      <c r="E179" s="357">
        <f>F179+H179+L179+N179+P179+R179+S179+T179+U179+V179</f>
        <v>804949.72</v>
      </c>
      <c r="F179" s="357">
        <v>0</v>
      </c>
      <c r="G179" s="359">
        <v>0</v>
      </c>
      <c r="H179" s="357">
        <v>0</v>
      </c>
      <c r="I179" s="357">
        <v>267</v>
      </c>
      <c r="J179" s="357" t="s">
        <v>109</v>
      </c>
      <c r="K179" s="357">
        <v>3438.05</v>
      </c>
      <c r="L179" s="357">
        <v>804949.72</v>
      </c>
      <c r="M179" s="357">
        <v>0</v>
      </c>
      <c r="N179" s="357">
        <v>0</v>
      </c>
      <c r="O179" s="357">
        <v>0</v>
      </c>
      <c r="P179" s="357">
        <v>0</v>
      </c>
      <c r="Q179" s="357">
        <v>0</v>
      </c>
      <c r="R179" s="357">
        <v>0</v>
      </c>
      <c r="S179" s="357">
        <v>0</v>
      </c>
      <c r="T179" s="357">
        <v>0</v>
      </c>
      <c r="U179" s="357">
        <v>0</v>
      </c>
      <c r="V179" s="357">
        <v>0</v>
      </c>
    </row>
    <row r="180" spans="1:22" ht="9" hidden="1" customHeight="1">
      <c r="A180" s="358">
        <v>150</v>
      </c>
      <c r="B180" s="371" t="s">
        <v>263</v>
      </c>
      <c r="C180" s="355" t="s">
        <v>998</v>
      </c>
      <c r="D180" s="355"/>
      <c r="E180" s="357">
        <f>F180+H180+L180+N180+P180+R180+S180+T180+U180+V180</f>
        <v>1522380.2</v>
      </c>
      <c r="F180" s="357">
        <v>0</v>
      </c>
      <c r="G180" s="359">
        <v>0</v>
      </c>
      <c r="H180" s="357">
        <v>0</v>
      </c>
      <c r="I180" s="357">
        <v>389.3</v>
      </c>
      <c r="J180" s="357" t="s">
        <v>109</v>
      </c>
      <c r="K180" s="357">
        <v>3438.05</v>
      </c>
      <c r="L180" s="357">
        <v>1522380.2</v>
      </c>
      <c r="M180" s="357">
        <v>0</v>
      </c>
      <c r="N180" s="357">
        <v>0</v>
      </c>
      <c r="O180" s="357">
        <v>0</v>
      </c>
      <c r="P180" s="357">
        <v>0</v>
      </c>
      <c r="Q180" s="357">
        <v>0</v>
      </c>
      <c r="R180" s="357">
        <v>0</v>
      </c>
      <c r="S180" s="357">
        <v>0</v>
      </c>
      <c r="T180" s="357">
        <v>0</v>
      </c>
      <c r="U180" s="357">
        <v>0</v>
      </c>
      <c r="V180" s="357">
        <v>0</v>
      </c>
    </row>
    <row r="181" spans="1:22" ht="9" hidden="1" customHeight="1">
      <c r="A181" s="358">
        <v>151</v>
      </c>
      <c r="B181" s="371" t="s">
        <v>264</v>
      </c>
      <c r="C181" s="355" t="s">
        <v>998</v>
      </c>
      <c r="D181" s="355"/>
      <c r="E181" s="357">
        <f>F181+H181+L181+N181+P181+R181+S181+T181+U181+V181</f>
        <v>917488.63</v>
      </c>
      <c r="F181" s="357">
        <v>0</v>
      </c>
      <c r="G181" s="359">
        <v>0</v>
      </c>
      <c r="H181" s="357">
        <v>0</v>
      </c>
      <c r="I181" s="357">
        <v>267</v>
      </c>
      <c r="J181" s="357" t="s">
        <v>109</v>
      </c>
      <c r="K181" s="357">
        <v>3438.05</v>
      </c>
      <c r="L181" s="357">
        <v>917488.63</v>
      </c>
      <c r="M181" s="357">
        <v>0</v>
      </c>
      <c r="N181" s="357">
        <v>0</v>
      </c>
      <c r="O181" s="357">
        <v>0</v>
      </c>
      <c r="P181" s="357">
        <v>0</v>
      </c>
      <c r="Q181" s="357">
        <v>0</v>
      </c>
      <c r="R181" s="357">
        <v>0</v>
      </c>
      <c r="S181" s="357">
        <v>0</v>
      </c>
      <c r="T181" s="357">
        <v>0</v>
      </c>
      <c r="U181" s="357">
        <v>0</v>
      </c>
      <c r="V181" s="357">
        <v>0</v>
      </c>
    </row>
    <row r="182" spans="1:22" ht="11.25" hidden="1" customHeight="1">
      <c r="A182" s="550" t="s">
        <v>436</v>
      </c>
      <c r="B182" s="550"/>
      <c r="C182" s="550"/>
      <c r="D182" s="550"/>
      <c r="E182" s="550"/>
      <c r="F182" s="550"/>
      <c r="G182" s="550"/>
      <c r="H182" s="550"/>
      <c r="I182" s="550"/>
      <c r="J182" s="550"/>
      <c r="K182" s="550"/>
      <c r="L182" s="550"/>
      <c r="M182" s="550"/>
      <c r="N182" s="550"/>
      <c r="O182" s="550"/>
      <c r="P182" s="550"/>
      <c r="Q182" s="550"/>
      <c r="R182" s="550"/>
      <c r="S182" s="550"/>
      <c r="T182" s="550"/>
      <c r="U182" s="550"/>
      <c r="V182" s="550"/>
    </row>
    <row r="183" spans="1:22" ht="20.25" hidden="1" customHeight="1">
      <c r="A183" s="559" t="s">
        <v>440</v>
      </c>
      <c r="B183" s="559"/>
      <c r="C183" s="355"/>
      <c r="D183" s="355"/>
      <c r="E183" s="357">
        <f>E184</f>
        <v>1376215.27</v>
      </c>
      <c r="F183" s="357">
        <v>0</v>
      </c>
      <c r="G183" s="359">
        <v>0</v>
      </c>
      <c r="H183" s="357">
        <v>0</v>
      </c>
      <c r="I183" s="357">
        <f>I184</f>
        <v>422.63</v>
      </c>
      <c r="J183" s="357"/>
      <c r="K183" s="357"/>
      <c r="L183" s="357">
        <f>L184</f>
        <v>1376215.27</v>
      </c>
      <c r="M183" s="357">
        <v>0</v>
      </c>
      <c r="N183" s="357">
        <v>0</v>
      </c>
      <c r="O183" s="357">
        <v>0</v>
      </c>
      <c r="P183" s="357">
        <v>0</v>
      </c>
      <c r="Q183" s="357">
        <v>0</v>
      </c>
      <c r="R183" s="357">
        <v>0</v>
      </c>
      <c r="S183" s="357">
        <v>0</v>
      </c>
      <c r="T183" s="357">
        <v>0</v>
      </c>
      <c r="U183" s="357">
        <v>0</v>
      </c>
      <c r="V183" s="357">
        <v>0</v>
      </c>
    </row>
    <row r="184" spans="1:22" ht="10.5" hidden="1" customHeight="1">
      <c r="A184" s="358">
        <v>152</v>
      </c>
      <c r="B184" s="371" t="s">
        <v>266</v>
      </c>
      <c r="C184" s="355" t="s">
        <v>998</v>
      </c>
      <c r="D184" s="355"/>
      <c r="E184" s="357">
        <f>F184+H184+L184+N184+P184+R184+S184+T184+U184+V184</f>
        <v>1376215.27</v>
      </c>
      <c r="F184" s="357">
        <v>0</v>
      </c>
      <c r="G184" s="359">
        <v>0</v>
      </c>
      <c r="H184" s="357">
        <v>0</v>
      </c>
      <c r="I184" s="357">
        <v>422.63</v>
      </c>
      <c r="J184" s="357" t="s">
        <v>109</v>
      </c>
      <c r="K184" s="357">
        <v>3438.05</v>
      </c>
      <c r="L184" s="357">
        <v>1376215.27</v>
      </c>
      <c r="M184" s="357">
        <v>0</v>
      </c>
      <c r="N184" s="357">
        <v>0</v>
      </c>
      <c r="O184" s="357">
        <v>0</v>
      </c>
      <c r="P184" s="357">
        <v>0</v>
      </c>
      <c r="Q184" s="357">
        <v>0</v>
      </c>
      <c r="R184" s="357">
        <v>0</v>
      </c>
      <c r="S184" s="357">
        <v>0</v>
      </c>
      <c r="T184" s="357">
        <v>0</v>
      </c>
      <c r="U184" s="357">
        <v>0</v>
      </c>
      <c r="V184" s="357">
        <v>0</v>
      </c>
    </row>
    <row r="185" spans="1:22" ht="12" hidden="1" customHeight="1">
      <c r="A185" s="550" t="s">
        <v>391</v>
      </c>
      <c r="B185" s="550"/>
      <c r="C185" s="550"/>
      <c r="D185" s="550"/>
      <c r="E185" s="550"/>
      <c r="F185" s="550"/>
      <c r="G185" s="550"/>
      <c r="H185" s="550"/>
      <c r="I185" s="550"/>
      <c r="J185" s="550"/>
      <c r="K185" s="550"/>
      <c r="L185" s="550"/>
      <c r="M185" s="550"/>
      <c r="N185" s="550"/>
      <c r="O185" s="550"/>
      <c r="P185" s="550"/>
      <c r="Q185" s="550"/>
      <c r="R185" s="550"/>
      <c r="S185" s="550"/>
      <c r="T185" s="550"/>
      <c r="U185" s="550"/>
      <c r="V185" s="550"/>
    </row>
    <row r="186" spans="1:22" ht="20.25" hidden="1" customHeight="1">
      <c r="A186" s="559" t="s">
        <v>268</v>
      </c>
      <c r="B186" s="559"/>
      <c r="C186" s="355"/>
      <c r="D186" s="355"/>
      <c r="E186" s="357">
        <f t="shared" ref="E186:V186" si="19">SUM(E187:E201)</f>
        <v>23656268.309999995</v>
      </c>
      <c r="F186" s="357">
        <f t="shared" si="19"/>
        <v>0</v>
      </c>
      <c r="G186" s="359">
        <f t="shared" si="19"/>
        <v>0</v>
      </c>
      <c r="H186" s="357">
        <f t="shared" si="19"/>
        <v>0</v>
      </c>
      <c r="I186" s="357">
        <f t="shared" si="19"/>
        <v>7464.1999999999989</v>
      </c>
      <c r="J186" s="357">
        <f t="shared" si="19"/>
        <v>0</v>
      </c>
      <c r="K186" s="357">
        <f t="shared" si="19"/>
        <v>41658.890000000007</v>
      </c>
      <c r="L186" s="357">
        <f t="shared" si="19"/>
        <v>23656268.309999995</v>
      </c>
      <c r="M186" s="357">
        <f t="shared" si="19"/>
        <v>0</v>
      </c>
      <c r="N186" s="357">
        <f t="shared" si="19"/>
        <v>0</v>
      </c>
      <c r="O186" s="357">
        <f t="shared" si="19"/>
        <v>0</v>
      </c>
      <c r="P186" s="357">
        <f t="shared" si="19"/>
        <v>0</v>
      </c>
      <c r="Q186" s="357">
        <f t="shared" si="19"/>
        <v>0</v>
      </c>
      <c r="R186" s="357">
        <f t="shared" si="19"/>
        <v>0</v>
      </c>
      <c r="S186" s="357">
        <f t="shared" si="19"/>
        <v>0</v>
      </c>
      <c r="T186" s="357">
        <f t="shared" si="19"/>
        <v>0</v>
      </c>
      <c r="U186" s="357">
        <f t="shared" si="19"/>
        <v>0</v>
      </c>
      <c r="V186" s="357">
        <f t="shared" si="19"/>
        <v>0</v>
      </c>
    </row>
    <row r="187" spans="1:22" s="335" customFormat="1" ht="9" hidden="1" customHeight="1">
      <c r="A187" s="358">
        <v>153</v>
      </c>
      <c r="B187" s="371" t="s">
        <v>269</v>
      </c>
      <c r="C187" s="355" t="s">
        <v>997</v>
      </c>
      <c r="D187" s="355"/>
      <c r="E187" s="357">
        <f t="shared" ref="E187:E201" si="20">F187+H187+L187+N187+P187+R187+S187+T187+U187+V187</f>
        <v>3195550.56</v>
      </c>
      <c r="F187" s="357">
        <v>0</v>
      </c>
      <c r="G187" s="359">
        <v>0</v>
      </c>
      <c r="H187" s="357">
        <v>0</v>
      </c>
      <c r="I187" s="357">
        <v>860</v>
      </c>
      <c r="J187" s="357" t="s">
        <v>108</v>
      </c>
      <c r="K187" s="357">
        <v>2022.07</v>
      </c>
      <c r="L187" s="357">
        <v>3195550.56</v>
      </c>
      <c r="M187" s="357">
        <v>0</v>
      </c>
      <c r="N187" s="357">
        <v>0</v>
      </c>
      <c r="O187" s="357">
        <v>0</v>
      </c>
      <c r="P187" s="357">
        <v>0</v>
      </c>
      <c r="Q187" s="357">
        <v>0</v>
      </c>
      <c r="R187" s="357">
        <v>0</v>
      </c>
      <c r="S187" s="357">
        <v>0</v>
      </c>
      <c r="T187" s="357">
        <v>0</v>
      </c>
      <c r="U187" s="357">
        <v>0</v>
      </c>
      <c r="V187" s="357">
        <v>0</v>
      </c>
    </row>
    <row r="188" spans="1:22" ht="9" hidden="1" customHeight="1">
      <c r="A188" s="358">
        <v>154</v>
      </c>
      <c r="B188" s="371" t="s">
        <v>270</v>
      </c>
      <c r="C188" s="355" t="s">
        <v>998</v>
      </c>
      <c r="D188" s="355"/>
      <c r="E188" s="357">
        <f t="shared" si="20"/>
        <v>1695759.88</v>
      </c>
      <c r="F188" s="357">
        <v>0</v>
      </c>
      <c r="G188" s="359">
        <v>0</v>
      </c>
      <c r="H188" s="357">
        <v>0</v>
      </c>
      <c r="I188" s="357">
        <v>485</v>
      </c>
      <c r="J188" s="357" t="s">
        <v>109</v>
      </c>
      <c r="K188" s="357">
        <v>3438.05</v>
      </c>
      <c r="L188" s="357">
        <v>1695759.88</v>
      </c>
      <c r="M188" s="357">
        <v>0</v>
      </c>
      <c r="N188" s="357">
        <v>0</v>
      </c>
      <c r="O188" s="357">
        <v>0</v>
      </c>
      <c r="P188" s="357">
        <v>0</v>
      </c>
      <c r="Q188" s="357">
        <v>0</v>
      </c>
      <c r="R188" s="357">
        <v>0</v>
      </c>
      <c r="S188" s="357">
        <v>0</v>
      </c>
      <c r="T188" s="357">
        <v>0</v>
      </c>
      <c r="U188" s="357">
        <v>0</v>
      </c>
      <c r="V188" s="357">
        <v>0</v>
      </c>
    </row>
    <row r="189" spans="1:22" s="335" customFormat="1" ht="9" hidden="1" customHeight="1">
      <c r="A189" s="358">
        <v>155</v>
      </c>
      <c r="B189" s="371" t="s">
        <v>271</v>
      </c>
      <c r="C189" s="355" t="s">
        <v>1003</v>
      </c>
      <c r="D189" s="355"/>
      <c r="E189" s="357">
        <f>F189+H189+L189+N189+P189+R189+S189+T189+U189+V189</f>
        <v>1321918.93</v>
      </c>
      <c r="F189" s="357">
        <v>0</v>
      </c>
      <c r="G189" s="359">
        <v>0</v>
      </c>
      <c r="H189" s="357">
        <v>0</v>
      </c>
      <c r="I189" s="357">
        <v>368</v>
      </c>
      <c r="J189" s="357" t="s">
        <v>108</v>
      </c>
      <c r="K189" s="357">
        <v>2022.07</v>
      </c>
      <c r="L189" s="357">
        <v>1321918.93</v>
      </c>
      <c r="M189" s="357">
        <v>0</v>
      </c>
      <c r="N189" s="357">
        <v>0</v>
      </c>
      <c r="O189" s="357">
        <v>0</v>
      </c>
      <c r="P189" s="357">
        <v>0</v>
      </c>
      <c r="Q189" s="357">
        <v>0</v>
      </c>
      <c r="R189" s="357">
        <v>0</v>
      </c>
      <c r="S189" s="357">
        <v>0</v>
      </c>
      <c r="T189" s="357">
        <v>0</v>
      </c>
      <c r="U189" s="357">
        <v>0</v>
      </c>
      <c r="V189" s="357">
        <v>0</v>
      </c>
    </row>
    <row r="190" spans="1:22" ht="9" hidden="1" customHeight="1">
      <c r="A190" s="358">
        <v>156</v>
      </c>
      <c r="B190" s="371" t="s">
        <v>272</v>
      </c>
      <c r="C190" s="355" t="s">
        <v>997</v>
      </c>
      <c r="D190" s="355"/>
      <c r="E190" s="357">
        <f t="shared" si="20"/>
        <v>1316234.7</v>
      </c>
      <c r="F190" s="357">
        <v>0</v>
      </c>
      <c r="G190" s="359">
        <v>0</v>
      </c>
      <c r="H190" s="357">
        <v>0</v>
      </c>
      <c r="I190" s="357">
        <v>356</v>
      </c>
      <c r="J190" s="357" t="s">
        <v>108</v>
      </c>
      <c r="K190" s="357">
        <v>2022.07</v>
      </c>
      <c r="L190" s="357">
        <v>1316234.7</v>
      </c>
      <c r="M190" s="357">
        <v>0</v>
      </c>
      <c r="N190" s="357">
        <v>0</v>
      </c>
      <c r="O190" s="357">
        <v>0</v>
      </c>
      <c r="P190" s="357">
        <v>0</v>
      </c>
      <c r="Q190" s="357">
        <v>0</v>
      </c>
      <c r="R190" s="357">
        <v>0</v>
      </c>
      <c r="S190" s="357">
        <v>0</v>
      </c>
      <c r="T190" s="357">
        <v>0</v>
      </c>
      <c r="U190" s="357">
        <v>0</v>
      </c>
      <c r="V190" s="357">
        <v>0</v>
      </c>
    </row>
    <row r="191" spans="1:22" ht="9" hidden="1" customHeight="1">
      <c r="A191" s="358">
        <v>157</v>
      </c>
      <c r="B191" s="371" t="s">
        <v>273</v>
      </c>
      <c r="C191" s="355" t="s">
        <v>997</v>
      </c>
      <c r="D191" s="355"/>
      <c r="E191" s="357">
        <f t="shared" si="20"/>
        <v>763718</v>
      </c>
      <c r="F191" s="357">
        <v>0</v>
      </c>
      <c r="G191" s="359">
        <v>0</v>
      </c>
      <c r="H191" s="357">
        <v>0</v>
      </c>
      <c r="I191" s="357">
        <v>219</v>
      </c>
      <c r="J191" s="357" t="s">
        <v>108</v>
      </c>
      <c r="K191" s="357">
        <v>2022.07</v>
      </c>
      <c r="L191" s="357">
        <v>763718</v>
      </c>
      <c r="M191" s="357">
        <v>0</v>
      </c>
      <c r="N191" s="357">
        <v>0</v>
      </c>
      <c r="O191" s="357">
        <v>0</v>
      </c>
      <c r="P191" s="357">
        <v>0</v>
      </c>
      <c r="Q191" s="357">
        <v>0</v>
      </c>
      <c r="R191" s="357">
        <v>0</v>
      </c>
      <c r="S191" s="357">
        <v>0</v>
      </c>
      <c r="T191" s="357">
        <v>0</v>
      </c>
      <c r="U191" s="357">
        <v>0</v>
      </c>
      <c r="V191" s="357">
        <v>0</v>
      </c>
    </row>
    <row r="192" spans="1:22" ht="9" hidden="1" customHeight="1">
      <c r="A192" s="358">
        <v>158</v>
      </c>
      <c r="B192" s="371" t="s">
        <v>274</v>
      </c>
      <c r="C192" s="355" t="s">
        <v>997</v>
      </c>
      <c r="D192" s="355"/>
      <c r="E192" s="357">
        <f t="shared" si="20"/>
        <v>819383.91</v>
      </c>
      <c r="F192" s="357">
        <v>0</v>
      </c>
      <c r="G192" s="359">
        <v>0</v>
      </c>
      <c r="H192" s="357">
        <v>0</v>
      </c>
      <c r="I192" s="357">
        <v>233.14</v>
      </c>
      <c r="J192" s="357" t="s">
        <v>108</v>
      </c>
      <c r="K192" s="357">
        <v>2022.07</v>
      </c>
      <c r="L192" s="357">
        <v>819383.91</v>
      </c>
      <c r="M192" s="357">
        <v>0</v>
      </c>
      <c r="N192" s="357">
        <v>0</v>
      </c>
      <c r="O192" s="357">
        <v>0</v>
      </c>
      <c r="P192" s="357">
        <v>0</v>
      </c>
      <c r="Q192" s="357">
        <v>0</v>
      </c>
      <c r="R192" s="357">
        <v>0</v>
      </c>
      <c r="S192" s="357">
        <v>0</v>
      </c>
      <c r="T192" s="357">
        <v>0</v>
      </c>
      <c r="U192" s="357">
        <v>0</v>
      </c>
      <c r="V192" s="357">
        <v>0</v>
      </c>
    </row>
    <row r="193" spans="1:22" ht="9" hidden="1" customHeight="1">
      <c r="A193" s="358">
        <v>159</v>
      </c>
      <c r="B193" s="371" t="s">
        <v>275</v>
      </c>
      <c r="C193" s="355" t="s">
        <v>998</v>
      </c>
      <c r="D193" s="355"/>
      <c r="E193" s="357">
        <f t="shared" si="20"/>
        <v>1665435.7</v>
      </c>
      <c r="F193" s="357">
        <v>0</v>
      </c>
      <c r="G193" s="359">
        <v>0</v>
      </c>
      <c r="H193" s="357">
        <v>0</v>
      </c>
      <c r="I193" s="357">
        <v>564</v>
      </c>
      <c r="J193" s="357" t="s">
        <v>109</v>
      </c>
      <c r="K193" s="357">
        <v>3438.05</v>
      </c>
      <c r="L193" s="357">
        <v>1665435.7</v>
      </c>
      <c r="M193" s="357">
        <v>0</v>
      </c>
      <c r="N193" s="357">
        <v>0</v>
      </c>
      <c r="O193" s="357">
        <v>0</v>
      </c>
      <c r="P193" s="357">
        <v>0</v>
      </c>
      <c r="Q193" s="357">
        <v>0</v>
      </c>
      <c r="R193" s="357">
        <v>0</v>
      </c>
      <c r="S193" s="357">
        <v>0</v>
      </c>
      <c r="T193" s="357">
        <v>0</v>
      </c>
      <c r="U193" s="357">
        <v>0</v>
      </c>
      <c r="V193" s="357">
        <v>0</v>
      </c>
    </row>
    <row r="194" spans="1:22" ht="9" hidden="1" customHeight="1">
      <c r="A194" s="358">
        <v>160</v>
      </c>
      <c r="B194" s="371" t="s">
        <v>276</v>
      </c>
      <c r="C194" s="355" t="s">
        <v>998</v>
      </c>
      <c r="D194" s="355"/>
      <c r="E194" s="357">
        <f t="shared" si="20"/>
        <v>1784649.94</v>
      </c>
      <c r="F194" s="357">
        <v>0</v>
      </c>
      <c r="G194" s="359">
        <v>0</v>
      </c>
      <c r="H194" s="357">
        <v>0</v>
      </c>
      <c r="I194" s="357">
        <v>532.4</v>
      </c>
      <c r="J194" s="357" t="s">
        <v>109</v>
      </c>
      <c r="K194" s="357">
        <v>3438.05</v>
      </c>
      <c r="L194" s="357">
        <v>1784649.94</v>
      </c>
      <c r="M194" s="357">
        <v>0</v>
      </c>
      <c r="N194" s="357">
        <v>0</v>
      </c>
      <c r="O194" s="357">
        <v>0</v>
      </c>
      <c r="P194" s="357">
        <v>0</v>
      </c>
      <c r="Q194" s="357">
        <v>0</v>
      </c>
      <c r="R194" s="357">
        <v>0</v>
      </c>
      <c r="S194" s="357">
        <v>0</v>
      </c>
      <c r="T194" s="357">
        <v>0</v>
      </c>
      <c r="U194" s="357">
        <v>0</v>
      </c>
      <c r="V194" s="357">
        <v>0</v>
      </c>
    </row>
    <row r="195" spans="1:22" ht="9" hidden="1" customHeight="1">
      <c r="A195" s="358">
        <v>161</v>
      </c>
      <c r="B195" s="371" t="s">
        <v>277</v>
      </c>
      <c r="C195" s="355" t="s">
        <v>997</v>
      </c>
      <c r="D195" s="355"/>
      <c r="E195" s="357">
        <f t="shared" si="20"/>
        <v>1623962.44</v>
      </c>
      <c r="F195" s="357">
        <v>0</v>
      </c>
      <c r="G195" s="359">
        <v>0</v>
      </c>
      <c r="H195" s="357">
        <v>0</v>
      </c>
      <c r="I195" s="357">
        <v>523.91</v>
      </c>
      <c r="J195" s="357" t="s">
        <v>108</v>
      </c>
      <c r="K195" s="357">
        <v>2022.07</v>
      </c>
      <c r="L195" s="357">
        <v>1623962.44</v>
      </c>
      <c r="M195" s="357">
        <v>0</v>
      </c>
      <c r="N195" s="357">
        <v>0</v>
      </c>
      <c r="O195" s="357">
        <v>0</v>
      </c>
      <c r="P195" s="357">
        <v>0</v>
      </c>
      <c r="Q195" s="357">
        <v>0</v>
      </c>
      <c r="R195" s="357">
        <v>0</v>
      </c>
      <c r="S195" s="357">
        <v>0</v>
      </c>
      <c r="T195" s="357">
        <v>0</v>
      </c>
      <c r="U195" s="357">
        <v>0</v>
      </c>
      <c r="V195" s="357">
        <v>0</v>
      </c>
    </row>
    <row r="196" spans="1:22" ht="9" hidden="1" customHeight="1">
      <c r="A196" s="358">
        <v>162</v>
      </c>
      <c r="B196" s="371" t="s">
        <v>367</v>
      </c>
      <c r="C196" s="355" t="s">
        <v>998</v>
      </c>
      <c r="D196" s="355"/>
      <c r="E196" s="357">
        <f t="shared" si="20"/>
        <v>2069920.05</v>
      </c>
      <c r="F196" s="357">
        <v>0</v>
      </c>
      <c r="G196" s="359">
        <v>0</v>
      </c>
      <c r="H196" s="357">
        <v>0</v>
      </c>
      <c r="I196" s="357">
        <v>813.4</v>
      </c>
      <c r="J196" s="357" t="s">
        <v>109</v>
      </c>
      <c r="K196" s="357">
        <v>3438.05</v>
      </c>
      <c r="L196" s="357">
        <v>2069920.05</v>
      </c>
      <c r="M196" s="357">
        <v>0</v>
      </c>
      <c r="N196" s="357">
        <v>0</v>
      </c>
      <c r="O196" s="357">
        <v>0</v>
      </c>
      <c r="P196" s="357">
        <v>0</v>
      </c>
      <c r="Q196" s="357">
        <v>0</v>
      </c>
      <c r="R196" s="357">
        <v>0</v>
      </c>
      <c r="S196" s="357">
        <v>0</v>
      </c>
      <c r="T196" s="357">
        <v>0</v>
      </c>
      <c r="U196" s="357">
        <v>0</v>
      </c>
      <c r="V196" s="357">
        <v>0</v>
      </c>
    </row>
    <row r="197" spans="1:22" ht="9" hidden="1" customHeight="1">
      <c r="A197" s="358">
        <v>163</v>
      </c>
      <c r="B197" s="371" t="s">
        <v>278</v>
      </c>
      <c r="C197" s="355" t="s">
        <v>997</v>
      </c>
      <c r="D197" s="355"/>
      <c r="E197" s="357">
        <f t="shared" si="20"/>
        <v>1871195.32</v>
      </c>
      <c r="F197" s="357">
        <v>0</v>
      </c>
      <c r="G197" s="359">
        <v>0</v>
      </c>
      <c r="H197" s="357">
        <v>0</v>
      </c>
      <c r="I197" s="357">
        <v>502</v>
      </c>
      <c r="J197" s="357" t="s">
        <v>108</v>
      </c>
      <c r="K197" s="357">
        <v>2022.07</v>
      </c>
      <c r="L197" s="357">
        <v>1871195.32</v>
      </c>
      <c r="M197" s="357">
        <v>0</v>
      </c>
      <c r="N197" s="357">
        <v>0</v>
      </c>
      <c r="O197" s="357">
        <v>0</v>
      </c>
      <c r="P197" s="357">
        <v>0</v>
      </c>
      <c r="Q197" s="357">
        <v>0</v>
      </c>
      <c r="R197" s="357">
        <v>0</v>
      </c>
      <c r="S197" s="357">
        <v>0</v>
      </c>
      <c r="T197" s="357">
        <v>0</v>
      </c>
      <c r="U197" s="357">
        <v>0</v>
      </c>
      <c r="V197" s="357">
        <v>0</v>
      </c>
    </row>
    <row r="198" spans="1:22" ht="9" hidden="1" customHeight="1">
      <c r="A198" s="358">
        <v>164</v>
      </c>
      <c r="B198" s="371" t="s">
        <v>279</v>
      </c>
      <c r="C198" s="355" t="s">
        <v>1002</v>
      </c>
      <c r="D198" s="355"/>
      <c r="E198" s="357">
        <f t="shared" si="20"/>
        <v>1858393.84</v>
      </c>
      <c r="F198" s="357">
        <v>0</v>
      </c>
      <c r="G198" s="359">
        <v>0</v>
      </c>
      <c r="H198" s="357">
        <v>0</v>
      </c>
      <c r="I198" s="357">
        <v>585</v>
      </c>
      <c r="J198" s="357" t="s">
        <v>109</v>
      </c>
      <c r="K198" s="357">
        <v>3438.05</v>
      </c>
      <c r="L198" s="357">
        <v>1858393.84</v>
      </c>
      <c r="M198" s="357">
        <v>0</v>
      </c>
      <c r="N198" s="357">
        <v>0</v>
      </c>
      <c r="O198" s="357">
        <v>0</v>
      </c>
      <c r="P198" s="357">
        <v>0</v>
      </c>
      <c r="Q198" s="357">
        <v>0</v>
      </c>
      <c r="R198" s="357">
        <v>0</v>
      </c>
      <c r="S198" s="357">
        <v>0</v>
      </c>
      <c r="T198" s="357">
        <v>0</v>
      </c>
      <c r="U198" s="357">
        <v>0</v>
      </c>
      <c r="V198" s="357">
        <v>0</v>
      </c>
    </row>
    <row r="199" spans="1:22" ht="9" hidden="1" customHeight="1">
      <c r="A199" s="358">
        <v>165</v>
      </c>
      <c r="B199" s="371" t="s">
        <v>280</v>
      </c>
      <c r="C199" s="355" t="s">
        <v>998</v>
      </c>
      <c r="D199" s="355"/>
      <c r="E199" s="357">
        <f t="shared" si="20"/>
        <v>1992782.87</v>
      </c>
      <c r="F199" s="357">
        <v>0</v>
      </c>
      <c r="G199" s="359">
        <v>0</v>
      </c>
      <c r="H199" s="357">
        <v>0</v>
      </c>
      <c r="I199" s="357">
        <v>813.7</v>
      </c>
      <c r="J199" s="357" t="s">
        <v>109</v>
      </c>
      <c r="K199" s="357">
        <v>3438.05</v>
      </c>
      <c r="L199" s="357">
        <v>1992782.87</v>
      </c>
      <c r="M199" s="357">
        <v>0</v>
      </c>
      <c r="N199" s="357">
        <v>0</v>
      </c>
      <c r="O199" s="357">
        <v>0</v>
      </c>
      <c r="P199" s="357">
        <v>0</v>
      </c>
      <c r="Q199" s="357">
        <v>0</v>
      </c>
      <c r="R199" s="357">
        <v>0</v>
      </c>
      <c r="S199" s="357">
        <v>0</v>
      </c>
      <c r="T199" s="357">
        <v>0</v>
      </c>
      <c r="U199" s="357">
        <v>0</v>
      </c>
      <c r="V199" s="357">
        <v>0</v>
      </c>
    </row>
    <row r="200" spans="1:22" ht="9" hidden="1" customHeight="1">
      <c r="A200" s="358">
        <v>166</v>
      </c>
      <c r="B200" s="371" t="s">
        <v>281</v>
      </c>
      <c r="C200" s="355" t="s">
        <v>998</v>
      </c>
      <c r="D200" s="355"/>
      <c r="E200" s="357">
        <f t="shared" si="20"/>
        <v>1018363.49</v>
      </c>
      <c r="F200" s="357">
        <v>0</v>
      </c>
      <c r="G200" s="359">
        <v>0</v>
      </c>
      <c r="H200" s="357">
        <v>0</v>
      </c>
      <c r="I200" s="357">
        <v>389</v>
      </c>
      <c r="J200" s="357" t="s">
        <v>109</v>
      </c>
      <c r="K200" s="357">
        <v>3438.05</v>
      </c>
      <c r="L200" s="357">
        <v>1018363.49</v>
      </c>
      <c r="M200" s="357">
        <v>0</v>
      </c>
      <c r="N200" s="357">
        <v>0</v>
      </c>
      <c r="O200" s="357">
        <v>0</v>
      </c>
      <c r="P200" s="357">
        <v>0</v>
      </c>
      <c r="Q200" s="357">
        <v>0</v>
      </c>
      <c r="R200" s="357">
        <v>0</v>
      </c>
      <c r="S200" s="357">
        <v>0</v>
      </c>
      <c r="T200" s="357">
        <v>0</v>
      </c>
      <c r="U200" s="357">
        <v>0</v>
      </c>
      <c r="V200" s="357">
        <v>0</v>
      </c>
    </row>
    <row r="201" spans="1:22" ht="9" hidden="1" customHeight="1">
      <c r="A201" s="358">
        <v>167</v>
      </c>
      <c r="B201" s="371" t="s">
        <v>282</v>
      </c>
      <c r="C201" s="355" t="s">
        <v>998</v>
      </c>
      <c r="D201" s="355"/>
      <c r="E201" s="357">
        <f t="shared" si="20"/>
        <v>658998.68000000005</v>
      </c>
      <c r="F201" s="357">
        <v>0</v>
      </c>
      <c r="G201" s="359">
        <v>0</v>
      </c>
      <c r="H201" s="357">
        <v>0</v>
      </c>
      <c r="I201" s="357">
        <v>219.65</v>
      </c>
      <c r="J201" s="357" t="s">
        <v>109</v>
      </c>
      <c r="K201" s="357">
        <v>3438.05</v>
      </c>
      <c r="L201" s="357">
        <v>658998.68000000005</v>
      </c>
      <c r="M201" s="357">
        <v>0</v>
      </c>
      <c r="N201" s="357">
        <v>0</v>
      </c>
      <c r="O201" s="357">
        <v>0</v>
      </c>
      <c r="P201" s="357">
        <v>0</v>
      </c>
      <c r="Q201" s="357">
        <v>0</v>
      </c>
      <c r="R201" s="357">
        <v>0</v>
      </c>
      <c r="S201" s="357">
        <v>0</v>
      </c>
      <c r="T201" s="357">
        <v>0</v>
      </c>
      <c r="U201" s="357">
        <v>0</v>
      </c>
      <c r="V201" s="357">
        <v>0</v>
      </c>
    </row>
    <row r="202" spans="1:22" hidden="1">
      <c r="A202" s="563" t="s">
        <v>441</v>
      </c>
      <c r="B202" s="563"/>
      <c r="C202" s="563"/>
      <c r="D202" s="563"/>
      <c r="E202" s="563"/>
      <c r="F202" s="563"/>
      <c r="G202" s="563"/>
      <c r="H202" s="563"/>
      <c r="I202" s="563"/>
      <c r="J202" s="563"/>
      <c r="K202" s="563"/>
      <c r="L202" s="563"/>
      <c r="M202" s="563"/>
      <c r="N202" s="563"/>
      <c r="O202" s="563"/>
      <c r="P202" s="563"/>
      <c r="Q202" s="563"/>
      <c r="R202" s="563"/>
      <c r="S202" s="563"/>
      <c r="T202" s="563"/>
      <c r="U202" s="563"/>
      <c r="V202" s="563"/>
    </row>
    <row r="203" spans="1:22" ht="20.25" hidden="1" customHeight="1">
      <c r="A203" s="559" t="s">
        <v>442</v>
      </c>
      <c r="B203" s="559"/>
      <c r="C203" s="355"/>
      <c r="D203" s="355"/>
      <c r="E203" s="385">
        <f t="shared" ref="E203:V203" si="21">SUM(E204:E205)</f>
        <v>3710545.95</v>
      </c>
      <c r="F203" s="385">
        <f t="shared" si="21"/>
        <v>0</v>
      </c>
      <c r="G203" s="386">
        <f t="shared" si="21"/>
        <v>0</v>
      </c>
      <c r="H203" s="385">
        <f t="shared" si="21"/>
        <v>0</v>
      </c>
      <c r="I203" s="385">
        <f t="shared" si="21"/>
        <v>1246.3</v>
      </c>
      <c r="J203" s="385">
        <f t="shared" si="21"/>
        <v>0</v>
      </c>
      <c r="K203" s="385">
        <f t="shared" si="21"/>
        <v>5460.12</v>
      </c>
      <c r="L203" s="385">
        <f t="shared" si="21"/>
        <v>3710545.95</v>
      </c>
      <c r="M203" s="385">
        <f t="shared" si="21"/>
        <v>0</v>
      </c>
      <c r="N203" s="385">
        <f t="shared" si="21"/>
        <v>0</v>
      </c>
      <c r="O203" s="385">
        <f t="shared" si="21"/>
        <v>0</v>
      </c>
      <c r="P203" s="385">
        <f t="shared" si="21"/>
        <v>0</v>
      </c>
      <c r="Q203" s="385">
        <f t="shared" si="21"/>
        <v>0</v>
      </c>
      <c r="R203" s="385">
        <f t="shared" si="21"/>
        <v>0</v>
      </c>
      <c r="S203" s="385">
        <f t="shared" si="21"/>
        <v>0</v>
      </c>
      <c r="T203" s="385">
        <f t="shared" si="21"/>
        <v>0</v>
      </c>
      <c r="U203" s="385">
        <f t="shared" si="21"/>
        <v>0</v>
      </c>
      <c r="V203" s="385">
        <f t="shared" si="21"/>
        <v>0</v>
      </c>
    </row>
    <row r="204" spans="1:22" ht="9.75" hidden="1" customHeight="1">
      <c r="A204" s="387">
        <v>168</v>
      </c>
      <c r="B204" s="388" t="s">
        <v>283</v>
      </c>
      <c r="C204" s="389" t="s">
        <v>998</v>
      </c>
      <c r="D204" s="389"/>
      <c r="E204" s="357">
        <f>F204+H204+L204+N204+P204+R204+S204+T204+U204+V204</f>
        <v>2215999.62</v>
      </c>
      <c r="F204" s="385">
        <v>0</v>
      </c>
      <c r="G204" s="386">
        <v>0</v>
      </c>
      <c r="H204" s="385">
        <v>0</v>
      </c>
      <c r="I204" s="390">
        <v>810</v>
      </c>
      <c r="J204" s="387" t="s">
        <v>109</v>
      </c>
      <c r="K204" s="357">
        <v>3438.05</v>
      </c>
      <c r="L204" s="357">
        <v>2215999.62</v>
      </c>
      <c r="M204" s="390">
        <v>0</v>
      </c>
      <c r="N204" s="390">
        <v>0</v>
      </c>
      <c r="O204" s="390">
        <v>0</v>
      </c>
      <c r="P204" s="390">
        <v>0</v>
      </c>
      <c r="Q204" s="390">
        <v>0</v>
      </c>
      <c r="R204" s="390">
        <v>0</v>
      </c>
      <c r="S204" s="390">
        <v>0</v>
      </c>
      <c r="T204" s="390">
        <v>0</v>
      </c>
      <c r="U204" s="390">
        <v>0</v>
      </c>
      <c r="V204" s="390">
        <v>0</v>
      </c>
    </row>
    <row r="205" spans="1:22" ht="9.75" hidden="1" customHeight="1">
      <c r="A205" s="387">
        <v>169</v>
      </c>
      <c r="B205" s="388" t="s">
        <v>284</v>
      </c>
      <c r="C205" s="389" t="s">
        <v>997</v>
      </c>
      <c r="D205" s="389"/>
      <c r="E205" s="357">
        <f>F205+H205+L205+N205+P205+R205+S205+T205+U205+V205</f>
        <v>1494546.33</v>
      </c>
      <c r="F205" s="385">
        <v>0</v>
      </c>
      <c r="G205" s="386">
        <v>0</v>
      </c>
      <c r="H205" s="385">
        <v>0</v>
      </c>
      <c r="I205" s="390">
        <v>436.3</v>
      </c>
      <c r="J205" s="387" t="s">
        <v>108</v>
      </c>
      <c r="K205" s="357">
        <v>2022.07</v>
      </c>
      <c r="L205" s="357">
        <v>1494546.33</v>
      </c>
      <c r="M205" s="390">
        <v>0</v>
      </c>
      <c r="N205" s="390">
        <v>0</v>
      </c>
      <c r="O205" s="390">
        <v>0</v>
      </c>
      <c r="P205" s="390">
        <v>0</v>
      </c>
      <c r="Q205" s="390">
        <v>0</v>
      </c>
      <c r="R205" s="390">
        <v>0</v>
      </c>
      <c r="S205" s="390">
        <v>0</v>
      </c>
      <c r="T205" s="390">
        <v>0</v>
      </c>
      <c r="U205" s="390">
        <v>0</v>
      </c>
      <c r="V205" s="390">
        <v>0</v>
      </c>
    </row>
    <row r="206" spans="1:22" ht="11.25" hidden="1" customHeight="1">
      <c r="A206" s="563" t="s">
        <v>393</v>
      </c>
      <c r="B206" s="563"/>
      <c r="C206" s="563"/>
      <c r="D206" s="563"/>
      <c r="E206" s="563"/>
      <c r="F206" s="563"/>
      <c r="G206" s="563"/>
      <c r="H206" s="563"/>
      <c r="I206" s="563"/>
      <c r="J206" s="563"/>
      <c r="K206" s="563"/>
      <c r="L206" s="563"/>
      <c r="M206" s="563"/>
      <c r="N206" s="563"/>
      <c r="O206" s="563"/>
      <c r="P206" s="563"/>
      <c r="Q206" s="563"/>
      <c r="R206" s="563"/>
      <c r="S206" s="563"/>
      <c r="T206" s="563"/>
      <c r="U206" s="563"/>
      <c r="V206" s="563"/>
    </row>
    <row r="207" spans="1:22" ht="19.5" hidden="1" customHeight="1">
      <c r="A207" s="562" t="s">
        <v>394</v>
      </c>
      <c r="B207" s="562"/>
      <c r="C207" s="391"/>
      <c r="D207" s="391"/>
      <c r="E207" s="385">
        <f t="shared" ref="E207:V207" si="22">SUM(E208:E208)</f>
        <v>1919938.68</v>
      </c>
      <c r="F207" s="385">
        <f t="shared" si="22"/>
        <v>0</v>
      </c>
      <c r="G207" s="386">
        <f t="shared" si="22"/>
        <v>0</v>
      </c>
      <c r="H207" s="385">
        <f t="shared" si="22"/>
        <v>0</v>
      </c>
      <c r="I207" s="385">
        <f t="shared" si="22"/>
        <v>618</v>
      </c>
      <c r="J207" s="385">
        <f t="shared" si="22"/>
        <v>0</v>
      </c>
      <c r="K207" s="385">
        <f t="shared" si="22"/>
        <v>3438.05</v>
      </c>
      <c r="L207" s="385">
        <f t="shared" si="22"/>
        <v>1919938.68</v>
      </c>
      <c r="M207" s="385">
        <f t="shared" si="22"/>
        <v>0</v>
      </c>
      <c r="N207" s="385">
        <f t="shared" si="22"/>
        <v>0</v>
      </c>
      <c r="O207" s="385">
        <f t="shared" si="22"/>
        <v>0</v>
      </c>
      <c r="P207" s="385">
        <f t="shared" si="22"/>
        <v>0</v>
      </c>
      <c r="Q207" s="385">
        <f t="shared" si="22"/>
        <v>0</v>
      </c>
      <c r="R207" s="385">
        <f t="shared" si="22"/>
        <v>0</v>
      </c>
      <c r="S207" s="385">
        <f t="shared" si="22"/>
        <v>0</v>
      </c>
      <c r="T207" s="385">
        <f t="shared" si="22"/>
        <v>0</v>
      </c>
      <c r="U207" s="385">
        <f t="shared" si="22"/>
        <v>0</v>
      </c>
      <c r="V207" s="385">
        <f t="shared" si="22"/>
        <v>0</v>
      </c>
    </row>
    <row r="208" spans="1:22" ht="9.75" hidden="1" customHeight="1">
      <c r="A208" s="387">
        <v>170</v>
      </c>
      <c r="B208" s="388" t="s">
        <v>289</v>
      </c>
      <c r="C208" s="389" t="s">
        <v>998</v>
      </c>
      <c r="D208" s="392"/>
      <c r="E208" s="357">
        <f>F208+H208+L208+N208+P208+R208+S208+T208+U208+V208</f>
        <v>1919938.68</v>
      </c>
      <c r="F208" s="385">
        <v>0</v>
      </c>
      <c r="G208" s="386">
        <v>0</v>
      </c>
      <c r="H208" s="385">
        <v>0</v>
      </c>
      <c r="I208" s="385">
        <v>618</v>
      </c>
      <c r="J208" s="387" t="s">
        <v>109</v>
      </c>
      <c r="K208" s="357">
        <v>3438.05</v>
      </c>
      <c r="L208" s="357">
        <v>1919938.68</v>
      </c>
      <c r="M208" s="390">
        <v>0</v>
      </c>
      <c r="N208" s="390">
        <v>0</v>
      </c>
      <c r="O208" s="390">
        <v>0</v>
      </c>
      <c r="P208" s="390">
        <v>0</v>
      </c>
      <c r="Q208" s="390">
        <v>0</v>
      </c>
      <c r="R208" s="390">
        <v>0</v>
      </c>
      <c r="S208" s="390">
        <v>0</v>
      </c>
      <c r="T208" s="390">
        <v>0</v>
      </c>
      <c r="U208" s="390">
        <v>0</v>
      </c>
      <c r="V208" s="390">
        <v>0</v>
      </c>
    </row>
    <row r="209" spans="1:23" ht="9" hidden="1" customHeight="1">
      <c r="A209" s="550" t="s">
        <v>438</v>
      </c>
      <c r="B209" s="550"/>
      <c r="C209" s="550"/>
      <c r="D209" s="550"/>
      <c r="E209" s="550"/>
      <c r="F209" s="550"/>
      <c r="G209" s="550"/>
      <c r="H209" s="550"/>
      <c r="I209" s="550"/>
      <c r="J209" s="550"/>
      <c r="K209" s="550"/>
      <c r="L209" s="550"/>
      <c r="M209" s="550"/>
      <c r="N209" s="550"/>
      <c r="O209" s="550"/>
      <c r="P209" s="550"/>
      <c r="Q209" s="550"/>
      <c r="R209" s="550"/>
      <c r="S209" s="550"/>
      <c r="T209" s="550"/>
      <c r="U209" s="550"/>
      <c r="V209" s="550"/>
    </row>
    <row r="210" spans="1:23" ht="24.75" hidden="1" customHeight="1">
      <c r="A210" s="559" t="s">
        <v>439</v>
      </c>
      <c r="B210" s="559"/>
      <c r="C210" s="355"/>
      <c r="D210" s="355"/>
      <c r="E210" s="357">
        <f t="shared" ref="E210:V210" si="23">SUM(E211:E211)</f>
        <v>2556075.09</v>
      </c>
      <c r="F210" s="357">
        <f t="shared" si="23"/>
        <v>2332254.33</v>
      </c>
      <c r="G210" s="359">
        <f t="shared" si="23"/>
        <v>0</v>
      </c>
      <c r="H210" s="357">
        <f t="shared" si="23"/>
        <v>0</v>
      </c>
      <c r="I210" s="357">
        <f t="shared" si="23"/>
        <v>0</v>
      </c>
      <c r="J210" s="357">
        <f t="shared" si="23"/>
        <v>0</v>
      </c>
      <c r="K210" s="357">
        <f t="shared" si="23"/>
        <v>1807.85</v>
      </c>
      <c r="L210" s="357">
        <f t="shared" si="23"/>
        <v>0</v>
      </c>
      <c r="M210" s="357">
        <f t="shared" si="23"/>
        <v>0</v>
      </c>
      <c r="N210" s="357">
        <f t="shared" si="23"/>
        <v>0</v>
      </c>
      <c r="O210" s="357">
        <f t="shared" si="23"/>
        <v>0</v>
      </c>
      <c r="P210" s="357">
        <f t="shared" si="23"/>
        <v>0</v>
      </c>
      <c r="Q210" s="357">
        <f t="shared" si="23"/>
        <v>0</v>
      </c>
      <c r="R210" s="357">
        <f t="shared" si="23"/>
        <v>0</v>
      </c>
      <c r="S210" s="357">
        <f t="shared" si="23"/>
        <v>0</v>
      </c>
      <c r="T210" s="357">
        <f t="shared" si="23"/>
        <v>0</v>
      </c>
      <c r="U210" s="357">
        <f t="shared" si="23"/>
        <v>223820.76</v>
      </c>
      <c r="V210" s="357">
        <f t="shared" si="23"/>
        <v>0</v>
      </c>
      <c r="W210" s="22"/>
    </row>
    <row r="211" spans="1:23" ht="9" hidden="1" customHeight="1">
      <c r="A211" s="358">
        <v>171</v>
      </c>
      <c r="B211" s="371" t="s">
        <v>285</v>
      </c>
      <c r="C211" s="355" t="s">
        <v>1004</v>
      </c>
      <c r="D211" s="355"/>
      <c r="E211" s="357">
        <f>F211+U211</f>
        <v>2556075.09</v>
      </c>
      <c r="F211" s="357">
        <v>2332254.33</v>
      </c>
      <c r="G211" s="359">
        <v>0</v>
      </c>
      <c r="H211" s="357">
        <v>0</v>
      </c>
      <c r="I211" s="357">
        <v>0</v>
      </c>
      <c r="J211" s="357" t="s">
        <v>287</v>
      </c>
      <c r="K211" s="357">
        <f>(190+910+260+200+170)*1.045</f>
        <v>1807.85</v>
      </c>
      <c r="L211" s="357">
        <v>0</v>
      </c>
      <c r="M211" s="357">
        <v>0</v>
      </c>
      <c r="N211" s="357">
        <v>0</v>
      </c>
      <c r="O211" s="357">
        <v>0</v>
      </c>
      <c r="P211" s="357">
        <v>0</v>
      </c>
      <c r="Q211" s="357">
        <v>0</v>
      </c>
      <c r="R211" s="357">
        <v>0</v>
      </c>
      <c r="S211" s="357">
        <v>0</v>
      </c>
      <c r="T211" s="357">
        <v>0</v>
      </c>
      <c r="U211" s="357">
        <v>223820.76</v>
      </c>
      <c r="V211" s="357">
        <v>0</v>
      </c>
    </row>
    <row r="212" spans="1:23" ht="9" hidden="1" customHeight="1">
      <c r="A212" s="550" t="s">
        <v>443</v>
      </c>
      <c r="B212" s="550"/>
      <c r="C212" s="550"/>
      <c r="D212" s="550"/>
      <c r="E212" s="550"/>
      <c r="F212" s="550"/>
      <c r="G212" s="550"/>
      <c r="H212" s="550"/>
      <c r="I212" s="550"/>
      <c r="J212" s="550"/>
      <c r="K212" s="550"/>
      <c r="L212" s="550"/>
      <c r="M212" s="550"/>
      <c r="N212" s="550"/>
      <c r="O212" s="550"/>
      <c r="P212" s="550"/>
      <c r="Q212" s="550"/>
      <c r="R212" s="550"/>
      <c r="S212" s="550"/>
      <c r="T212" s="550"/>
      <c r="U212" s="550"/>
      <c r="V212" s="550"/>
    </row>
    <row r="213" spans="1:23" ht="23.25" hidden="1" customHeight="1">
      <c r="A213" s="559" t="s">
        <v>444</v>
      </c>
      <c r="B213" s="559"/>
      <c r="C213" s="355"/>
      <c r="D213" s="355"/>
      <c r="E213" s="357">
        <f t="shared" ref="E213:V213" si="24">SUM(E214:E215)</f>
        <v>3010576.8099999996</v>
      </c>
      <c r="F213" s="357">
        <f t="shared" si="24"/>
        <v>0</v>
      </c>
      <c r="G213" s="359">
        <f t="shared" si="24"/>
        <v>0</v>
      </c>
      <c r="H213" s="357">
        <f t="shared" si="24"/>
        <v>0</v>
      </c>
      <c r="I213" s="357">
        <f t="shared" si="24"/>
        <v>1010.25</v>
      </c>
      <c r="J213" s="357">
        <f t="shared" si="24"/>
        <v>0</v>
      </c>
      <c r="K213" s="357">
        <f t="shared" si="24"/>
        <v>6876.1</v>
      </c>
      <c r="L213" s="357">
        <f t="shared" si="24"/>
        <v>3010576.8099999996</v>
      </c>
      <c r="M213" s="357">
        <f t="shared" si="24"/>
        <v>0</v>
      </c>
      <c r="N213" s="357">
        <f t="shared" si="24"/>
        <v>0</v>
      </c>
      <c r="O213" s="357">
        <f t="shared" si="24"/>
        <v>0</v>
      </c>
      <c r="P213" s="357">
        <f t="shared" si="24"/>
        <v>0</v>
      </c>
      <c r="Q213" s="357">
        <f t="shared" si="24"/>
        <v>0</v>
      </c>
      <c r="R213" s="357">
        <f t="shared" si="24"/>
        <v>0</v>
      </c>
      <c r="S213" s="357">
        <f t="shared" si="24"/>
        <v>0</v>
      </c>
      <c r="T213" s="357">
        <f t="shared" si="24"/>
        <v>0</v>
      </c>
      <c r="U213" s="357">
        <f t="shared" si="24"/>
        <v>0</v>
      </c>
      <c r="V213" s="357">
        <f t="shared" si="24"/>
        <v>0</v>
      </c>
    </row>
    <row r="214" spans="1:23" ht="9" hidden="1" customHeight="1">
      <c r="A214" s="358">
        <v>172</v>
      </c>
      <c r="B214" s="371" t="s">
        <v>290</v>
      </c>
      <c r="C214" s="355" t="s">
        <v>998</v>
      </c>
      <c r="D214" s="355"/>
      <c r="E214" s="357">
        <f>F214+H214+L214+N214+P214+R214+S214+T214+U214+V214</f>
        <v>1578614.91</v>
      </c>
      <c r="F214" s="357">
        <v>0</v>
      </c>
      <c r="G214" s="359">
        <v>0</v>
      </c>
      <c r="H214" s="357">
        <v>0</v>
      </c>
      <c r="I214" s="357">
        <v>551.25</v>
      </c>
      <c r="J214" s="357" t="s">
        <v>109</v>
      </c>
      <c r="K214" s="357">
        <v>3438.05</v>
      </c>
      <c r="L214" s="357">
        <v>1578614.91</v>
      </c>
      <c r="M214" s="357">
        <v>0</v>
      </c>
      <c r="N214" s="357">
        <v>0</v>
      </c>
      <c r="O214" s="357">
        <v>0</v>
      </c>
      <c r="P214" s="357">
        <v>0</v>
      </c>
      <c r="Q214" s="357">
        <v>0</v>
      </c>
      <c r="R214" s="357">
        <v>0</v>
      </c>
      <c r="S214" s="357">
        <v>0</v>
      </c>
      <c r="T214" s="357">
        <v>0</v>
      </c>
      <c r="U214" s="357">
        <v>0</v>
      </c>
      <c r="V214" s="357">
        <v>0</v>
      </c>
    </row>
    <row r="215" spans="1:23" ht="9" hidden="1" customHeight="1">
      <c r="A215" s="358">
        <v>173</v>
      </c>
      <c r="B215" s="371" t="s">
        <v>291</v>
      </c>
      <c r="C215" s="355" t="s">
        <v>998</v>
      </c>
      <c r="D215" s="355"/>
      <c r="E215" s="357">
        <f>F215+H215+L215+N215+P215+R215+S215+T215+U215+V215</f>
        <v>1431961.9</v>
      </c>
      <c r="F215" s="357">
        <v>0</v>
      </c>
      <c r="G215" s="359">
        <v>0</v>
      </c>
      <c r="H215" s="357">
        <v>0</v>
      </c>
      <c r="I215" s="357">
        <v>459</v>
      </c>
      <c r="J215" s="357" t="s">
        <v>109</v>
      </c>
      <c r="K215" s="357">
        <v>3438.05</v>
      </c>
      <c r="L215" s="357">
        <v>1431961.9</v>
      </c>
      <c r="M215" s="357">
        <v>0</v>
      </c>
      <c r="N215" s="357">
        <v>0</v>
      </c>
      <c r="O215" s="357">
        <v>0</v>
      </c>
      <c r="P215" s="357">
        <v>0</v>
      </c>
      <c r="Q215" s="357">
        <v>0</v>
      </c>
      <c r="R215" s="357">
        <v>0</v>
      </c>
      <c r="S215" s="357">
        <v>0</v>
      </c>
      <c r="T215" s="357">
        <v>0</v>
      </c>
      <c r="U215" s="357">
        <v>0</v>
      </c>
      <c r="V215" s="357">
        <v>0</v>
      </c>
    </row>
    <row r="216" spans="1:23" ht="9" hidden="1" customHeight="1">
      <c r="A216" s="550" t="s">
        <v>1070</v>
      </c>
      <c r="B216" s="551"/>
      <c r="C216" s="551"/>
      <c r="D216" s="551"/>
      <c r="E216" s="551"/>
      <c r="F216" s="551"/>
      <c r="G216" s="551"/>
      <c r="H216" s="551"/>
      <c r="I216" s="551"/>
      <c r="J216" s="551"/>
      <c r="K216" s="551"/>
      <c r="L216" s="551"/>
      <c r="M216" s="551"/>
      <c r="N216" s="551"/>
      <c r="O216" s="551"/>
      <c r="P216" s="551"/>
      <c r="Q216" s="551"/>
      <c r="R216" s="551"/>
      <c r="S216" s="551"/>
      <c r="T216" s="551"/>
      <c r="U216" s="551"/>
      <c r="V216" s="551"/>
    </row>
    <row r="217" spans="1:23" ht="22.5" hidden="1" customHeight="1">
      <c r="A217" s="571" t="s">
        <v>1071</v>
      </c>
      <c r="B217" s="572"/>
      <c r="C217" s="393"/>
      <c r="D217" s="393"/>
      <c r="E217" s="357">
        <f t="shared" ref="E217:V217" si="25">SUM(E218:E218)</f>
        <v>1594069.23</v>
      </c>
      <c r="F217" s="357">
        <f t="shared" si="25"/>
        <v>0</v>
      </c>
      <c r="G217" s="359">
        <f t="shared" si="25"/>
        <v>0</v>
      </c>
      <c r="H217" s="357">
        <f t="shared" si="25"/>
        <v>0</v>
      </c>
      <c r="I217" s="357">
        <f t="shared" si="25"/>
        <v>631.29999999999995</v>
      </c>
      <c r="J217" s="357">
        <f t="shared" si="25"/>
        <v>0</v>
      </c>
      <c r="K217" s="357">
        <f t="shared" si="25"/>
        <v>2022.07</v>
      </c>
      <c r="L217" s="357">
        <f t="shared" si="25"/>
        <v>1594069.23</v>
      </c>
      <c r="M217" s="357">
        <f t="shared" si="25"/>
        <v>0</v>
      </c>
      <c r="N217" s="357">
        <f t="shared" si="25"/>
        <v>0</v>
      </c>
      <c r="O217" s="357">
        <f t="shared" si="25"/>
        <v>0</v>
      </c>
      <c r="P217" s="357">
        <f t="shared" si="25"/>
        <v>0</v>
      </c>
      <c r="Q217" s="357">
        <f t="shared" si="25"/>
        <v>0</v>
      </c>
      <c r="R217" s="357">
        <f t="shared" si="25"/>
        <v>0</v>
      </c>
      <c r="S217" s="357">
        <f t="shared" si="25"/>
        <v>0</v>
      </c>
      <c r="T217" s="357">
        <f t="shared" si="25"/>
        <v>0</v>
      </c>
      <c r="U217" s="357">
        <f t="shared" si="25"/>
        <v>0</v>
      </c>
      <c r="V217" s="357">
        <f t="shared" si="25"/>
        <v>0</v>
      </c>
    </row>
    <row r="218" spans="1:23" ht="9" hidden="1" customHeight="1">
      <c r="A218" s="358">
        <v>174</v>
      </c>
      <c r="B218" s="371" t="s">
        <v>370</v>
      </c>
      <c r="C218" s="355" t="s">
        <v>997</v>
      </c>
      <c r="D218" s="355"/>
      <c r="E218" s="357">
        <f>F218+H218+L218+N218+P218+R218+S218+T218+U218+V218</f>
        <v>1594069.23</v>
      </c>
      <c r="F218" s="357">
        <v>0</v>
      </c>
      <c r="G218" s="359">
        <v>0</v>
      </c>
      <c r="H218" s="357">
        <v>0</v>
      </c>
      <c r="I218" s="357">
        <v>631.29999999999995</v>
      </c>
      <c r="J218" s="387" t="s">
        <v>108</v>
      </c>
      <c r="K218" s="357">
        <v>2022.07</v>
      </c>
      <c r="L218" s="357">
        <v>1594069.23</v>
      </c>
      <c r="M218" s="357">
        <v>0</v>
      </c>
      <c r="N218" s="357">
        <v>0</v>
      </c>
      <c r="O218" s="357">
        <v>0</v>
      </c>
      <c r="P218" s="357">
        <v>0</v>
      </c>
      <c r="Q218" s="357">
        <v>0</v>
      </c>
      <c r="R218" s="357">
        <v>0</v>
      </c>
      <c r="S218" s="357">
        <v>0</v>
      </c>
      <c r="T218" s="357">
        <v>0</v>
      </c>
      <c r="U218" s="357">
        <v>0</v>
      </c>
      <c r="V218" s="357">
        <v>0</v>
      </c>
    </row>
    <row r="219" spans="1:23" ht="9" hidden="1" customHeight="1">
      <c r="A219" s="550" t="s">
        <v>405</v>
      </c>
      <c r="B219" s="551"/>
      <c r="C219" s="551"/>
      <c r="D219" s="551"/>
      <c r="E219" s="551"/>
      <c r="F219" s="551"/>
      <c r="G219" s="551"/>
      <c r="H219" s="551"/>
      <c r="I219" s="551"/>
      <c r="J219" s="551"/>
      <c r="K219" s="551"/>
      <c r="L219" s="551"/>
      <c r="M219" s="551"/>
      <c r="N219" s="551"/>
      <c r="O219" s="551"/>
      <c r="P219" s="551"/>
      <c r="Q219" s="551"/>
      <c r="R219" s="551"/>
      <c r="S219" s="551"/>
      <c r="T219" s="551"/>
      <c r="U219" s="551"/>
      <c r="V219" s="551"/>
    </row>
    <row r="220" spans="1:23" ht="20.25" hidden="1" customHeight="1">
      <c r="A220" s="559" t="s">
        <v>406</v>
      </c>
      <c r="B220" s="551"/>
      <c r="C220" s="393"/>
      <c r="D220" s="393"/>
      <c r="E220" s="357">
        <f>E221</f>
        <v>915711.45</v>
      </c>
      <c r="F220" s="357">
        <v>0</v>
      </c>
      <c r="G220" s="359">
        <v>0</v>
      </c>
      <c r="H220" s="357">
        <v>0</v>
      </c>
      <c r="I220" s="357">
        <f>I221</f>
        <v>369.6</v>
      </c>
      <c r="J220" s="387"/>
      <c r="K220" s="357"/>
      <c r="L220" s="357">
        <f>L221</f>
        <v>915711.45</v>
      </c>
      <c r="M220" s="357">
        <v>0</v>
      </c>
      <c r="N220" s="357">
        <v>0</v>
      </c>
      <c r="O220" s="357">
        <v>0</v>
      </c>
      <c r="P220" s="357">
        <v>0</v>
      </c>
      <c r="Q220" s="357">
        <v>0</v>
      </c>
      <c r="R220" s="357">
        <v>0</v>
      </c>
      <c r="S220" s="357">
        <v>0</v>
      </c>
      <c r="T220" s="357">
        <v>0</v>
      </c>
      <c r="U220" s="357">
        <v>0</v>
      </c>
      <c r="V220" s="357">
        <v>0</v>
      </c>
    </row>
    <row r="221" spans="1:23" ht="9" hidden="1" customHeight="1">
      <c r="A221" s="358">
        <v>175</v>
      </c>
      <c r="B221" s="371" t="s">
        <v>316</v>
      </c>
      <c r="C221" s="355" t="s">
        <v>998</v>
      </c>
      <c r="D221" s="355"/>
      <c r="E221" s="357">
        <f>F221+H221+L221+N221+P221+R221+S221+T221+U221+V221</f>
        <v>915711.45</v>
      </c>
      <c r="F221" s="357">
        <v>0</v>
      </c>
      <c r="G221" s="359">
        <v>0</v>
      </c>
      <c r="H221" s="357">
        <v>0</v>
      </c>
      <c r="I221" s="357">
        <v>369.6</v>
      </c>
      <c r="J221" s="357" t="s">
        <v>109</v>
      </c>
      <c r="K221" s="357">
        <v>3438.05</v>
      </c>
      <c r="L221" s="357">
        <v>915711.45</v>
      </c>
      <c r="M221" s="357">
        <v>0</v>
      </c>
      <c r="N221" s="357">
        <v>0</v>
      </c>
      <c r="O221" s="357">
        <v>0</v>
      </c>
      <c r="P221" s="357">
        <v>0</v>
      </c>
      <c r="Q221" s="357">
        <v>0</v>
      </c>
      <c r="R221" s="357">
        <v>0</v>
      </c>
      <c r="S221" s="357">
        <v>0</v>
      </c>
      <c r="T221" s="357">
        <v>0</v>
      </c>
      <c r="U221" s="357">
        <v>0</v>
      </c>
      <c r="V221" s="357">
        <v>0</v>
      </c>
    </row>
    <row r="222" spans="1:23" ht="9" hidden="1" customHeight="1">
      <c r="A222" s="550" t="s">
        <v>302</v>
      </c>
      <c r="B222" s="551"/>
      <c r="C222" s="551"/>
      <c r="D222" s="551"/>
      <c r="E222" s="551"/>
      <c r="F222" s="551"/>
      <c r="G222" s="551"/>
      <c r="H222" s="551"/>
      <c r="I222" s="551"/>
      <c r="J222" s="551"/>
      <c r="K222" s="551"/>
      <c r="L222" s="551"/>
      <c r="M222" s="551"/>
      <c r="N222" s="551"/>
      <c r="O222" s="551"/>
      <c r="P222" s="551"/>
      <c r="Q222" s="551"/>
      <c r="R222" s="551"/>
      <c r="S222" s="551"/>
      <c r="T222" s="551"/>
      <c r="U222" s="551"/>
      <c r="V222" s="551"/>
    </row>
    <row r="223" spans="1:23" ht="10.5" hidden="1" customHeight="1">
      <c r="A223" s="559" t="s">
        <v>297</v>
      </c>
      <c r="B223" s="551"/>
      <c r="C223" s="393"/>
      <c r="D223" s="393"/>
      <c r="E223" s="357">
        <f>E224</f>
        <v>1758941.64</v>
      </c>
      <c r="F223" s="357">
        <v>0</v>
      </c>
      <c r="G223" s="359">
        <v>0</v>
      </c>
      <c r="H223" s="357">
        <v>0</v>
      </c>
      <c r="I223" s="357">
        <f>I224</f>
        <v>442.13</v>
      </c>
      <c r="J223" s="394"/>
      <c r="K223" s="357"/>
      <c r="L223" s="357">
        <f>L224</f>
        <v>1758941.64</v>
      </c>
      <c r="M223" s="357">
        <v>0</v>
      </c>
      <c r="N223" s="357">
        <v>0</v>
      </c>
      <c r="O223" s="357">
        <v>0</v>
      </c>
      <c r="P223" s="357">
        <v>0</v>
      </c>
      <c r="Q223" s="357">
        <v>0</v>
      </c>
      <c r="R223" s="357">
        <v>0</v>
      </c>
      <c r="S223" s="357">
        <v>0</v>
      </c>
      <c r="T223" s="357">
        <v>0</v>
      </c>
      <c r="U223" s="357">
        <v>0</v>
      </c>
      <c r="V223" s="357">
        <v>0</v>
      </c>
    </row>
    <row r="224" spans="1:23" ht="9" hidden="1" customHeight="1">
      <c r="A224" s="358">
        <v>176</v>
      </c>
      <c r="B224" s="371" t="s">
        <v>314</v>
      </c>
      <c r="C224" s="355" t="s">
        <v>998</v>
      </c>
      <c r="D224" s="355"/>
      <c r="E224" s="357">
        <f>F224+H224+L224+N224+P224+R224+S224+T224+U224+V224</f>
        <v>1758941.64</v>
      </c>
      <c r="F224" s="357">
        <v>0</v>
      </c>
      <c r="G224" s="359">
        <v>0</v>
      </c>
      <c r="H224" s="357">
        <v>0</v>
      </c>
      <c r="I224" s="357">
        <v>442.13</v>
      </c>
      <c r="J224" s="357" t="s">
        <v>109</v>
      </c>
      <c r="K224" s="357">
        <v>3438.05</v>
      </c>
      <c r="L224" s="357">
        <v>1758941.64</v>
      </c>
      <c r="M224" s="357">
        <v>0</v>
      </c>
      <c r="N224" s="357">
        <v>0</v>
      </c>
      <c r="O224" s="357">
        <v>0</v>
      </c>
      <c r="P224" s="357">
        <v>0</v>
      </c>
      <c r="Q224" s="357">
        <v>0</v>
      </c>
      <c r="R224" s="357">
        <v>0</v>
      </c>
      <c r="S224" s="357">
        <v>0</v>
      </c>
      <c r="T224" s="357">
        <v>0</v>
      </c>
      <c r="U224" s="357">
        <v>0</v>
      </c>
      <c r="V224" s="357">
        <v>0</v>
      </c>
    </row>
    <row r="225" spans="1:22" ht="9" hidden="1" customHeight="1">
      <c r="A225" s="550" t="s">
        <v>292</v>
      </c>
      <c r="B225" s="551"/>
      <c r="C225" s="551"/>
      <c r="D225" s="551"/>
      <c r="E225" s="551"/>
      <c r="F225" s="551"/>
      <c r="G225" s="551"/>
      <c r="H225" s="551"/>
      <c r="I225" s="551"/>
      <c r="J225" s="551"/>
      <c r="K225" s="551"/>
      <c r="L225" s="551"/>
      <c r="M225" s="551"/>
      <c r="N225" s="551"/>
      <c r="O225" s="551"/>
      <c r="P225" s="551"/>
      <c r="Q225" s="551"/>
      <c r="R225" s="551"/>
      <c r="S225" s="551"/>
      <c r="T225" s="551"/>
      <c r="U225" s="551"/>
      <c r="V225" s="551"/>
    </row>
    <row r="226" spans="1:22" ht="23.25" hidden="1" customHeight="1">
      <c r="A226" s="559" t="s">
        <v>298</v>
      </c>
      <c r="B226" s="551"/>
      <c r="C226" s="393"/>
      <c r="D226" s="393"/>
      <c r="E226" s="357">
        <f>SUM(E227:E237)</f>
        <v>23343711.789999999</v>
      </c>
      <c r="F226" s="357">
        <v>0</v>
      </c>
      <c r="G226" s="359">
        <v>0</v>
      </c>
      <c r="H226" s="357">
        <v>0</v>
      </c>
      <c r="I226" s="357">
        <f>SUM(I227:I237)</f>
        <v>8172.65</v>
      </c>
      <c r="J226" s="394"/>
      <c r="K226" s="357"/>
      <c r="L226" s="357">
        <f>SUM(L227:L237)</f>
        <v>23343711.789999999</v>
      </c>
      <c r="M226" s="357">
        <v>0</v>
      </c>
      <c r="N226" s="357">
        <v>0</v>
      </c>
      <c r="O226" s="357">
        <v>0</v>
      </c>
      <c r="P226" s="357">
        <v>0</v>
      </c>
      <c r="Q226" s="357">
        <v>0</v>
      </c>
      <c r="R226" s="357">
        <v>0</v>
      </c>
      <c r="S226" s="357">
        <v>0</v>
      </c>
      <c r="T226" s="357">
        <v>0</v>
      </c>
      <c r="U226" s="357">
        <v>0</v>
      </c>
      <c r="V226" s="357">
        <v>0</v>
      </c>
    </row>
    <row r="227" spans="1:22" ht="9" hidden="1" customHeight="1">
      <c r="A227" s="358">
        <v>177</v>
      </c>
      <c r="B227" s="371" t="s">
        <v>303</v>
      </c>
      <c r="C227" s="355" t="s">
        <v>997</v>
      </c>
      <c r="D227" s="355"/>
      <c r="E227" s="357">
        <f>F227+H227+L227+N227+P227+R227+S227+T227+U227+V227</f>
        <v>3446471.72</v>
      </c>
      <c r="F227" s="357">
        <v>0</v>
      </c>
      <c r="G227" s="359">
        <v>0</v>
      </c>
      <c r="H227" s="357">
        <v>0</v>
      </c>
      <c r="I227" s="357">
        <v>902.16</v>
      </c>
      <c r="J227" s="387" t="s">
        <v>108</v>
      </c>
      <c r="K227" s="357">
        <v>2022.07</v>
      </c>
      <c r="L227" s="357">
        <v>3446471.72</v>
      </c>
      <c r="M227" s="357">
        <v>0</v>
      </c>
      <c r="N227" s="357">
        <v>0</v>
      </c>
      <c r="O227" s="357">
        <v>0</v>
      </c>
      <c r="P227" s="357">
        <v>0</v>
      </c>
      <c r="Q227" s="357">
        <v>0</v>
      </c>
      <c r="R227" s="357">
        <v>0</v>
      </c>
      <c r="S227" s="357">
        <v>0</v>
      </c>
      <c r="T227" s="357">
        <v>0</v>
      </c>
      <c r="U227" s="357">
        <v>0</v>
      </c>
      <c r="V227" s="357">
        <v>0</v>
      </c>
    </row>
    <row r="228" spans="1:22" ht="9" hidden="1" customHeight="1">
      <c r="A228" s="358">
        <v>178</v>
      </c>
      <c r="B228" s="371" t="s">
        <v>304</v>
      </c>
      <c r="C228" s="355" t="s">
        <v>997</v>
      </c>
      <c r="D228" s="355"/>
      <c r="E228" s="357">
        <f>F228+H228+L228+N228+P228+R228+S228+T228+U228+V228</f>
        <v>3201832.16</v>
      </c>
      <c r="F228" s="357">
        <v>0</v>
      </c>
      <c r="G228" s="359">
        <v>0</v>
      </c>
      <c r="H228" s="357">
        <v>0</v>
      </c>
      <c r="I228" s="357">
        <v>785.45</v>
      </c>
      <c r="J228" s="387" t="s">
        <v>108</v>
      </c>
      <c r="K228" s="357">
        <v>2022.07</v>
      </c>
      <c r="L228" s="357">
        <v>3201832.16</v>
      </c>
      <c r="M228" s="357">
        <v>0</v>
      </c>
      <c r="N228" s="357">
        <v>0</v>
      </c>
      <c r="O228" s="357">
        <v>0</v>
      </c>
      <c r="P228" s="357">
        <v>0</v>
      </c>
      <c r="Q228" s="357">
        <v>0</v>
      </c>
      <c r="R228" s="357">
        <v>0</v>
      </c>
      <c r="S228" s="357">
        <v>0</v>
      </c>
      <c r="T228" s="357">
        <v>0</v>
      </c>
      <c r="U228" s="357">
        <v>0</v>
      </c>
      <c r="V228" s="357">
        <v>0</v>
      </c>
    </row>
    <row r="229" spans="1:22" s="335" customFormat="1" ht="9" hidden="1" customHeight="1">
      <c r="A229" s="358">
        <v>179</v>
      </c>
      <c r="B229" s="371" t="s">
        <v>305</v>
      </c>
      <c r="C229" s="355" t="s">
        <v>997</v>
      </c>
      <c r="D229" s="355"/>
      <c r="E229" s="357">
        <f t="shared" ref="E229:E236" si="26">F229+H229+L229+N229+P229+R229+S229+T229+U229+V229</f>
        <v>5721344.5199999996</v>
      </c>
      <c r="F229" s="357">
        <v>0</v>
      </c>
      <c r="G229" s="359">
        <v>0</v>
      </c>
      <c r="H229" s="357">
        <v>0</v>
      </c>
      <c r="I229" s="357">
        <v>1472</v>
      </c>
      <c r="J229" s="387" t="s">
        <v>108</v>
      </c>
      <c r="K229" s="357">
        <v>2022.07</v>
      </c>
      <c r="L229" s="357">
        <v>5721344.5199999996</v>
      </c>
      <c r="M229" s="357">
        <v>0</v>
      </c>
      <c r="N229" s="357">
        <v>0</v>
      </c>
      <c r="O229" s="357">
        <v>0</v>
      </c>
      <c r="P229" s="357">
        <v>0</v>
      </c>
      <c r="Q229" s="357">
        <v>0</v>
      </c>
      <c r="R229" s="357">
        <v>0</v>
      </c>
      <c r="S229" s="357">
        <v>0</v>
      </c>
      <c r="T229" s="357">
        <v>0</v>
      </c>
      <c r="U229" s="357">
        <v>0</v>
      </c>
      <c r="V229" s="357">
        <v>0</v>
      </c>
    </row>
    <row r="230" spans="1:22" ht="9" hidden="1" customHeight="1">
      <c r="A230" s="358">
        <v>180</v>
      </c>
      <c r="B230" s="371" t="s">
        <v>309</v>
      </c>
      <c r="C230" s="355" t="s">
        <v>997</v>
      </c>
      <c r="D230" s="355"/>
      <c r="E230" s="357">
        <f t="shared" si="26"/>
        <v>791403.92</v>
      </c>
      <c r="F230" s="357">
        <v>0</v>
      </c>
      <c r="G230" s="359">
        <v>0</v>
      </c>
      <c r="H230" s="357">
        <v>0</v>
      </c>
      <c r="I230" s="357">
        <v>438</v>
      </c>
      <c r="J230" s="387" t="s">
        <v>108</v>
      </c>
      <c r="K230" s="357">
        <v>2022.07</v>
      </c>
      <c r="L230" s="357">
        <v>791403.92</v>
      </c>
      <c r="M230" s="357">
        <v>0</v>
      </c>
      <c r="N230" s="357">
        <v>0</v>
      </c>
      <c r="O230" s="357">
        <v>0</v>
      </c>
      <c r="P230" s="357">
        <v>0</v>
      </c>
      <c r="Q230" s="357">
        <v>0</v>
      </c>
      <c r="R230" s="357">
        <v>0</v>
      </c>
      <c r="S230" s="357">
        <v>0</v>
      </c>
      <c r="T230" s="357">
        <v>0</v>
      </c>
      <c r="U230" s="357">
        <v>0</v>
      </c>
      <c r="V230" s="357">
        <v>0</v>
      </c>
    </row>
    <row r="231" spans="1:22" ht="9" hidden="1" customHeight="1">
      <c r="A231" s="358">
        <v>181</v>
      </c>
      <c r="B231" s="371" t="s">
        <v>306</v>
      </c>
      <c r="C231" s="355" t="s">
        <v>997</v>
      </c>
      <c r="D231" s="355"/>
      <c r="E231" s="357">
        <f t="shared" si="26"/>
        <v>750571.93</v>
      </c>
      <c r="F231" s="357">
        <v>0</v>
      </c>
      <c r="G231" s="359">
        <v>0</v>
      </c>
      <c r="H231" s="357">
        <v>0</v>
      </c>
      <c r="I231" s="357">
        <v>383.7</v>
      </c>
      <c r="J231" s="387" t="s">
        <v>108</v>
      </c>
      <c r="K231" s="357">
        <v>2022.07</v>
      </c>
      <c r="L231" s="357">
        <v>750571.93</v>
      </c>
      <c r="M231" s="357">
        <v>0</v>
      </c>
      <c r="N231" s="357">
        <v>0</v>
      </c>
      <c r="O231" s="357">
        <v>0</v>
      </c>
      <c r="P231" s="357">
        <v>0</v>
      </c>
      <c r="Q231" s="357">
        <v>0</v>
      </c>
      <c r="R231" s="357">
        <v>0</v>
      </c>
      <c r="S231" s="357">
        <v>0</v>
      </c>
      <c r="T231" s="357">
        <v>0</v>
      </c>
      <c r="U231" s="357">
        <v>0</v>
      </c>
      <c r="V231" s="357">
        <v>0</v>
      </c>
    </row>
    <row r="232" spans="1:22" ht="9" hidden="1" customHeight="1">
      <c r="A232" s="358">
        <v>182</v>
      </c>
      <c r="B232" s="371" t="s">
        <v>307</v>
      </c>
      <c r="C232" s="355" t="s">
        <v>997</v>
      </c>
      <c r="D232" s="355"/>
      <c r="E232" s="357">
        <f t="shared" si="26"/>
        <v>1714578.77</v>
      </c>
      <c r="F232" s="357">
        <v>0</v>
      </c>
      <c r="G232" s="359">
        <v>0</v>
      </c>
      <c r="H232" s="357">
        <v>0</v>
      </c>
      <c r="I232" s="357">
        <v>961.7</v>
      </c>
      <c r="J232" s="387" t="s">
        <v>108</v>
      </c>
      <c r="K232" s="357">
        <v>2022.07</v>
      </c>
      <c r="L232" s="357">
        <v>1714578.77</v>
      </c>
      <c r="M232" s="357">
        <v>0</v>
      </c>
      <c r="N232" s="357">
        <v>0</v>
      </c>
      <c r="O232" s="357">
        <v>0</v>
      </c>
      <c r="P232" s="357">
        <v>0</v>
      </c>
      <c r="Q232" s="357">
        <v>0</v>
      </c>
      <c r="R232" s="357">
        <v>0</v>
      </c>
      <c r="S232" s="357">
        <v>0</v>
      </c>
      <c r="T232" s="357">
        <v>0</v>
      </c>
      <c r="U232" s="357">
        <v>0</v>
      </c>
      <c r="V232" s="357">
        <v>0</v>
      </c>
    </row>
    <row r="233" spans="1:22" ht="9" hidden="1" customHeight="1">
      <c r="A233" s="358">
        <v>183</v>
      </c>
      <c r="B233" s="371" t="s">
        <v>308</v>
      </c>
      <c r="C233" s="355" t="s">
        <v>998</v>
      </c>
      <c r="D233" s="355"/>
      <c r="E233" s="357">
        <f t="shared" si="26"/>
        <v>1645012.38</v>
      </c>
      <c r="F233" s="357">
        <v>0</v>
      </c>
      <c r="G233" s="359">
        <v>0</v>
      </c>
      <c r="H233" s="357">
        <v>0</v>
      </c>
      <c r="I233" s="357">
        <v>560.27</v>
      </c>
      <c r="J233" s="357" t="s">
        <v>109</v>
      </c>
      <c r="K233" s="357">
        <v>3438.05</v>
      </c>
      <c r="L233" s="357">
        <v>1645012.38</v>
      </c>
      <c r="M233" s="357">
        <v>0</v>
      </c>
      <c r="N233" s="357">
        <v>0</v>
      </c>
      <c r="O233" s="357">
        <v>0</v>
      </c>
      <c r="P233" s="357">
        <v>0</v>
      </c>
      <c r="Q233" s="357">
        <v>0</v>
      </c>
      <c r="R233" s="357">
        <v>0</v>
      </c>
      <c r="S233" s="357">
        <v>0</v>
      </c>
      <c r="T233" s="357">
        <v>0</v>
      </c>
      <c r="U233" s="357">
        <v>0</v>
      </c>
      <c r="V233" s="357">
        <v>0</v>
      </c>
    </row>
    <row r="234" spans="1:22" s="335" customFormat="1" ht="9" hidden="1" customHeight="1">
      <c r="A234" s="358">
        <v>184</v>
      </c>
      <c r="B234" s="371" t="s">
        <v>310</v>
      </c>
      <c r="C234" s="355" t="s">
        <v>997</v>
      </c>
      <c r="D234" s="355"/>
      <c r="E234" s="357">
        <f t="shared" si="26"/>
        <v>2961909.1</v>
      </c>
      <c r="F234" s="357">
        <v>0</v>
      </c>
      <c r="G234" s="359">
        <v>0</v>
      </c>
      <c r="H234" s="357">
        <v>0</v>
      </c>
      <c r="I234" s="357">
        <v>1015.2</v>
      </c>
      <c r="J234" s="387" t="s">
        <v>108</v>
      </c>
      <c r="K234" s="357">
        <v>2022.07</v>
      </c>
      <c r="L234" s="357">
        <v>2961909.1</v>
      </c>
      <c r="M234" s="357">
        <v>0</v>
      </c>
      <c r="N234" s="357">
        <v>0</v>
      </c>
      <c r="O234" s="357">
        <v>0</v>
      </c>
      <c r="P234" s="357">
        <v>0</v>
      </c>
      <c r="Q234" s="357">
        <v>0</v>
      </c>
      <c r="R234" s="357">
        <v>0</v>
      </c>
      <c r="S234" s="357">
        <v>0</v>
      </c>
      <c r="T234" s="357">
        <v>0</v>
      </c>
      <c r="U234" s="357">
        <v>0</v>
      </c>
      <c r="V234" s="357">
        <v>0</v>
      </c>
    </row>
    <row r="235" spans="1:22" s="335" customFormat="1" ht="9" hidden="1" customHeight="1">
      <c r="A235" s="358">
        <v>185</v>
      </c>
      <c r="B235" s="371" t="s">
        <v>311</v>
      </c>
      <c r="C235" s="355" t="s">
        <v>997</v>
      </c>
      <c r="D235" s="355"/>
      <c r="E235" s="357">
        <f t="shared" si="26"/>
        <v>1234896.07</v>
      </c>
      <c r="F235" s="357">
        <v>0</v>
      </c>
      <c r="G235" s="359">
        <v>0</v>
      </c>
      <c r="H235" s="357">
        <v>0</v>
      </c>
      <c r="I235" s="357">
        <v>1007</v>
      </c>
      <c r="J235" s="387" t="s">
        <v>108</v>
      </c>
      <c r="K235" s="357">
        <v>2022.07</v>
      </c>
      <c r="L235" s="357">
        <v>1234896.07</v>
      </c>
      <c r="M235" s="357">
        <v>0</v>
      </c>
      <c r="N235" s="357">
        <v>0</v>
      </c>
      <c r="O235" s="357">
        <v>0</v>
      </c>
      <c r="P235" s="357">
        <v>0</v>
      </c>
      <c r="Q235" s="357">
        <v>0</v>
      </c>
      <c r="R235" s="357">
        <v>0</v>
      </c>
      <c r="S235" s="357">
        <v>0</v>
      </c>
      <c r="T235" s="357">
        <v>0</v>
      </c>
      <c r="U235" s="357">
        <v>0</v>
      </c>
      <c r="V235" s="357">
        <v>0</v>
      </c>
    </row>
    <row r="236" spans="1:22" ht="9" hidden="1" customHeight="1">
      <c r="A236" s="358">
        <v>186</v>
      </c>
      <c r="B236" s="371" t="s">
        <v>312</v>
      </c>
      <c r="C236" s="355" t="s">
        <v>998</v>
      </c>
      <c r="D236" s="355"/>
      <c r="E236" s="357">
        <f t="shared" si="26"/>
        <v>1205166.82</v>
      </c>
      <c r="F236" s="357">
        <v>0</v>
      </c>
      <c r="G236" s="359">
        <v>0</v>
      </c>
      <c r="H236" s="357">
        <v>0</v>
      </c>
      <c r="I236" s="357">
        <v>403.27</v>
      </c>
      <c r="J236" s="357" t="s">
        <v>109</v>
      </c>
      <c r="K236" s="357">
        <v>3438.05</v>
      </c>
      <c r="L236" s="357">
        <v>1205166.82</v>
      </c>
      <c r="M236" s="357">
        <v>0</v>
      </c>
      <c r="N236" s="357">
        <v>0</v>
      </c>
      <c r="O236" s="357">
        <v>0</v>
      </c>
      <c r="P236" s="357">
        <v>0</v>
      </c>
      <c r="Q236" s="357">
        <v>0</v>
      </c>
      <c r="R236" s="357">
        <v>0</v>
      </c>
      <c r="S236" s="357">
        <v>0</v>
      </c>
      <c r="T236" s="357">
        <v>0</v>
      </c>
      <c r="U236" s="357">
        <v>0</v>
      </c>
      <c r="V236" s="357">
        <v>0</v>
      </c>
    </row>
    <row r="237" spans="1:22" ht="9" hidden="1" customHeight="1">
      <c r="A237" s="358">
        <v>187</v>
      </c>
      <c r="B237" s="371" t="s">
        <v>313</v>
      </c>
      <c r="C237" s="355" t="s">
        <v>998</v>
      </c>
      <c r="D237" s="355"/>
      <c r="E237" s="357">
        <f>F237+H237+L237+N237+P237+R237+S237+T237+U237+V237</f>
        <v>670524.4</v>
      </c>
      <c r="F237" s="357">
        <v>0</v>
      </c>
      <c r="G237" s="359">
        <v>0</v>
      </c>
      <c r="H237" s="357">
        <v>0</v>
      </c>
      <c r="I237" s="357">
        <v>243.9</v>
      </c>
      <c r="J237" s="357" t="s">
        <v>109</v>
      </c>
      <c r="K237" s="357">
        <v>3438.05</v>
      </c>
      <c r="L237" s="357">
        <v>670524.4</v>
      </c>
      <c r="M237" s="357">
        <v>0</v>
      </c>
      <c r="N237" s="357">
        <v>0</v>
      </c>
      <c r="O237" s="357">
        <v>0</v>
      </c>
      <c r="P237" s="357">
        <v>0</v>
      </c>
      <c r="Q237" s="357">
        <v>0</v>
      </c>
      <c r="R237" s="357">
        <v>0</v>
      </c>
      <c r="S237" s="357">
        <v>0</v>
      </c>
      <c r="T237" s="357">
        <v>0</v>
      </c>
      <c r="U237" s="357">
        <v>0</v>
      </c>
      <c r="V237" s="357">
        <v>0</v>
      </c>
    </row>
    <row r="238" spans="1:22" ht="9" hidden="1" customHeight="1">
      <c r="A238" s="550" t="s">
        <v>293</v>
      </c>
      <c r="B238" s="551"/>
      <c r="C238" s="551"/>
      <c r="D238" s="551"/>
      <c r="E238" s="551"/>
      <c r="F238" s="551"/>
      <c r="G238" s="551"/>
      <c r="H238" s="551"/>
      <c r="I238" s="551"/>
      <c r="J238" s="551"/>
      <c r="K238" s="551"/>
      <c r="L238" s="551"/>
      <c r="M238" s="551"/>
      <c r="N238" s="551"/>
      <c r="O238" s="551"/>
      <c r="P238" s="551"/>
      <c r="Q238" s="551"/>
      <c r="R238" s="551"/>
      <c r="S238" s="551"/>
      <c r="T238" s="551"/>
      <c r="U238" s="551"/>
      <c r="V238" s="551"/>
    </row>
    <row r="239" spans="1:22" ht="23.25" hidden="1" customHeight="1">
      <c r="A239" s="559" t="s">
        <v>299</v>
      </c>
      <c r="B239" s="551"/>
      <c r="C239" s="393"/>
      <c r="D239" s="393"/>
      <c r="E239" s="357">
        <f>E240+E241</f>
        <v>2940855.84</v>
      </c>
      <c r="F239" s="357">
        <v>0</v>
      </c>
      <c r="G239" s="359">
        <v>0</v>
      </c>
      <c r="H239" s="357">
        <v>0</v>
      </c>
      <c r="I239" s="357">
        <f>I240+I241</f>
        <v>912.58999999999992</v>
      </c>
      <c r="J239" s="394"/>
      <c r="K239" s="357"/>
      <c r="L239" s="357">
        <f>L240+L241</f>
        <v>2940855.84</v>
      </c>
      <c r="M239" s="357">
        <v>0</v>
      </c>
      <c r="N239" s="357">
        <v>0</v>
      </c>
      <c r="O239" s="357">
        <v>0</v>
      </c>
      <c r="P239" s="357">
        <v>0</v>
      </c>
      <c r="Q239" s="357">
        <v>0</v>
      </c>
      <c r="R239" s="357">
        <v>0</v>
      </c>
      <c r="S239" s="357">
        <v>0</v>
      </c>
      <c r="T239" s="357">
        <v>0</v>
      </c>
      <c r="U239" s="357">
        <v>0</v>
      </c>
      <c r="V239" s="357">
        <v>0</v>
      </c>
    </row>
    <row r="240" spans="1:22" ht="9" hidden="1" customHeight="1">
      <c r="A240" s="358">
        <v>188</v>
      </c>
      <c r="B240" s="371" t="s">
        <v>322</v>
      </c>
      <c r="C240" s="355" t="s">
        <v>998</v>
      </c>
      <c r="D240" s="355"/>
      <c r="E240" s="357">
        <f>F240+H240+L240+N240+P240+R240+S240+T240+U240+V240</f>
        <v>1214177.33</v>
      </c>
      <c r="F240" s="357">
        <v>0</v>
      </c>
      <c r="G240" s="359">
        <v>0</v>
      </c>
      <c r="H240" s="357">
        <v>0</v>
      </c>
      <c r="I240" s="357">
        <v>392.59</v>
      </c>
      <c r="J240" s="357" t="s">
        <v>109</v>
      </c>
      <c r="K240" s="357">
        <v>3438.05</v>
      </c>
      <c r="L240" s="357">
        <v>1214177.33</v>
      </c>
      <c r="M240" s="357">
        <v>0</v>
      </c>
      <c r="N240" s="357">
        <v>0</v>
      </c>
      <c r="O240" s="357">
        <v>0</v>
      </c>
      <c r="P240" s="357">
        <v>0</v>
      </c>
      <c r="Q240" s="357">
        <v>0</v>
      </c>
      <c r="R240" s="357">
        <v>0</v>
      </c>
      <c r="S240" s="357">
        <v>0</v>
      </c>
      <c r="T240" s="357">
        <v>0</v>
      </c>
      <c r="U240" s="357">
        <v>0</v>
      </c>
      <c r="V240" s="357">
        <v>0</v>
      </c>
    </row>
    <row r="241" spans="1:23" ht="9" hidden="1" customHeight="1">
      <c r="A241" s="358">
        <v>189</v>
      </c>
      <c r="B241" s="371" t="s">
        <v>321</v>
      </c>
      <c r="C241" s="355" t="s">
        <v>998</v>
      </c>
      <c r="D241" s="355"/>
      <c r="E241" s="357">
        <f>F241+H241+L241+N241+P241+R241+S241+T241+U241+V241</f>
        <v>1726678.51</v>
      </c>
      <c r="F241" s="357">
        <v>0</v>
      </c>
      <c r="G241" s="359">
        <v>0</v>
      </c>
      <c r="H241" s="357">
        <v>0</v>
      </c>
      <c r="I241" s="357">
        <v>520</v>
      </c>
      <c r="J241" s="357" t="s">
        <v>109</v>
      </c>
      <c r="K241" s="357">
        <v>3438.05</v>
      </c>
      <c r="L241" s="357">
        <v>1726678.51</v>
      </c>
      <c r="M241" s="357">
        <v>0</v>
      </c>
      <c r="N241" s="357">
        <v>0</v>
      </c>
      <c r="O241" s="357">
        <v>0</v>
      </c>
      <c r="P241" s="357">
        <v>0</v>
      </c>
      <c r="Q241" s="357">
        <v>0</v>
      </c>
      <c r="R241" s="357">
        <v>0</v>
      </c>
      <c r="S241" s="357">
        <v>0</v>
      </c>
      <c r="T241" s="357">
        <v>0</v>
      </c>
      <c r="U241" s="357">
        <v>0</v>
      </c>
      <c r="V241" s="357">
        <v>0</v>
      </c>
    </row>
    <row r="242" spans="1:23" ht="10.5" hidden="1" customHeight="1">
      <c r="A242" s="550" t="s">
        <v>294</v>
      </c>
      <c r="B242" s="551"/>
      <c r="C242" s="551"/>
      <c r="D242" s="551"/>
      <c r="E242" s="551"/>
      <c r="F242" s="551"/>
      <c r="G242" s="551"/>
      <c r="H242" s="551"/>
      <c r="I242" s="551"/>
      <c r="J242" s="551"/>
      <c r="K242" s="551"/>
      <c r="L242" s="551"/>
      <c r="M242" s="551"/>
      <c r="N242" s="551"/>
      <c r="O242" s="551"/>
      <c r="P242" s="551"/>
      <c r="Q242" s="551"/>
      <c r="R242" s="551"/>
      <c r="S242" s="551"/>
      <c r="T242" s="551"/>
      <c r="U242" s="551"/>
      <c r="V242" s="551"/>
    </row>
    <row r="243" spans="1:23" ht="23.25" hidden="1" customHeight="1">
      <c r="A243" s="559" t="s">
        <v>300</v>
      </c>
      <c r="B243" s="551"/>
      <c r="C243" s="393"/>
      <c r="D243" s="393"/>
      <c r="E243" s="357">
        <f>E244</f>
        <v>2023990.89</v>
      </c>
      <c r="F243" s="357">
        <v>0</v>
      </c>
      <c r="G243" s="359">
        <v>0</v>
      </c>
      <c r="H243" s="357">
        <v>0</v>
      </c>
      <c r="I243" s="357">
        <f>I244</f>
        <v>887</v>
      </c>
      <c r="J243" s="394"/>
      <c r="K243" s="357"/>
      <c r="L243" s="357">
        <f>L244</f>
        <v>2023990.89</v>
      </c>
      <c r="M243" s="357">
        <v>0</v>
      </c>
      <c r="N243" s="357">
        <v>0</v>
      </c>
      <c r="O243" s="357">
        <v>0</v>
      </c>
      <c r="P243" s="357">
        <v>0</v>
      </c>
      <c r="Q243" s="357">
        <v>0</v>
      </c>
      <c r="R243" s="357">
        <v>0</v>
      </c>
      <c r="S243" s="357">
        <v>0</v>
      </c>
      <c r="T243" s="357">
        <v>0</v>
      </c>
      <c r="U243" s="357">
        <v>0</v>
      </c>
      <c r="V243" s="357">
        <v>0</v>
      </c>
    </row>
    <row r="244" spans="1:23" ht="9" hidden="1" customHeight="1">
      <c r="A244" s="358">
        <v>190</v>
      </c>
      <c r="B244" s="371" t="s">
        <v>317</v>
      </c>
      <c r="C244" s="355" t="s">
        <v>998</v>
      </c>
      <c r="D244" s="355"/>
      <c r="E244" s="357">
        <f>F244+H244+L244+N244+P244+R244+S244+T244+U244+V244</f>
        <v>2023990.89</v>
      </c>
      <c r="F244" s="357">
        <v>0</v>
      </c>
      <c r="G244" s="359">
        <v>0</v>
      </c>
      <c r="H244" s="357">
        <v>0</v>
      </c>
      <c r="I244" s="357">
        <v>887</v>
      </c>
      <c r="J244" s="357" t="s">
        <v>109</v>
      </c>
      <c r="K244" s="357">
        <v>3438.05</v>
      </c>
      <c r="L244" s="357">
        <v>2023990.89</v>
      </c>
      <c r="M244" s="357">
        <v>0</v>
      </c>
      <c r="N244" s="357">
        <v>0</v>
      </c>
      <c r="O244" s="357">
        <v>0</v>
      </c>
      <c r="P244" s="357">
        <v>0</v>
      </c>
      <c r="Q244" s="357">
        <v>0</v>
      </c>
      <c r="R244" s="357">
        <v>0</v>
      </c>
      <c r="S244" s="357">
        <v>0</v>
      </c>
      <c r="T244" s="357">
        <v>0</v>
      </c>
      <c r="U244" s="357">
        <v>0</v>
      </c>
      <c r="V244" s="357">
        <v>0</v>
      </c>
    </row>
    <row r="245" spans="1:23" ht="9" hidden="1" customHeight="1">
      <c r="A245" s="550" t="s">
        <v>295</v>
      </c>
      <c r="B245" s="551"/>
      <c r="C245" s="551"/>
      <c r="D245" s="551"/>
      <c r="E245" s="551"/>
      <c r="F245" s="551"/>
      <c r="G245" s="551"/>
      <c r="H245" s="551"/>
      <c r="I245" s="551"/>
      <c r="J245" s="551"/>
      <c r="K245" s="551"/>
      <c r="L245" s="551"/>
      <c r="M245" s="551"/>
      <c r="N245" s="551"/>
      <c r="O245" s="551"/>
      <c r="P245" s="551"/>
      <c r="Q245" s="551"/>
      <c r="R245" s="551"/>
      <c r="S245" s="551"/>
      <c r="T245" s="551"/>
      <c r="U245" s="551"/>
      <c r="V245" s="551"/>
    </row>
    <row r="246" spans="1:23" ht="22.5" hidden="1" customHeight="1">
      <c r="A246" s="559" t="s">
        <v>301</v>
      </c>
      <c r="B246" s="551"/>
      <c r="C246" s="393"/>
      <c r="D246" s="393"/>
      <c r="E246" s="357">
        <f>E247</f>
        <v>2137661.38</v>
      </c>
      <c r="F246" s="357">
        <v>0</v>
      </c>
      <c r="G246" s="359">
        <v>0</v>
      </c>
      <c r="H246" s="357">
        <v>0</v>
      </c>
      <c r="I246" s="357">
        <f>I247</f>
        <v>640.83000000000004</v>
      </c>
      <c r="J246" s="394"/>
      <c r="K246" s="395"/>
      <c r="L246" s="357">
        <f>L247</f>
        <v>2137661.38</v>
      </c>
      <c r="M246" s="357">
        <v>0</v>
      </c>
      <c r="N246" s="357">
        <v>0</v>
      </c>
      <c r="O246" s="357">
        <v>0</v>
      </c>
      <c r="P246" s="357">
        <v>0</v>
      </c>
      <c r="Q246" s="357">
        <v>0</v>
      </c>
      <c r="R246" s="357">
        <v>0</v>
      </c>
      <c r="S246" s="357">
        <v>0</v>
      </c>
      <c r="T246" s="357">
        <v>0</v>
      </c>
      <c r="U246" s="357">
        <v>0</v>
      </c>
      <c r="V246" s="357">
        <v>0</v>
      </c>
    </row>
    <row r="247" spans="1:23" ht="9" hidden="1" customHeight="1">
      <c r="A247" s="358">
        <v>191</v>
      </c>
      <c r="B247" s="371" t="s">
        <v>315</v>
      </c>
      <c r="C247" s="355" t="s">
        <v>998</v>
      </c>
      <c r="D247" s="355"/>
      <c r="E247" s="357">
        <f>F247+H247+L247+N247+P247+R247+S247+T247+U247+V247</f>
        <v>2137661.38</v>
      </c>
      <c r="F247" s="357">
        <v>0</v>
      </c>
      <c r="G247" s="359">
        <v>0</v>
      </c>
      <c r="H247" s="357">
        <v>0</v>
      </c>
      <c r="I247" s="357">
        <v>640.83000000000004</v>
      </c>
      <c r="J247" s="357" t="s">
        <v>109</v>
      </c>
      <c r="K247" s="357">
        <v>3438.05</v>
      </c>
      <c r="L247" s="357">
        <v>2137661.38</v>
      </c>
      <c r="M247" s="357">
        <v>0</v>
      </c>
      <c r="N247" s="357">
        <v>0</v>
      </c>
      <c r="O247" s="357">
        <v>0</v>
      </c>
      <c r="P247" s="357">
        <v>0</v>
      </c>
      <c r="Q247" s="357">
        <v>0</v>
      </c>
      <c r="R247" s="357">
        <v>0</v>
      </c>
      <c r="S247" s="357">
        <v>0</v>
      </c>
      <c r="T247" s="357">
        <v>0</v>
      </c>
      <c r="U247" s="357">
        <v>0</v>
      </c>
      <c r="V247" s="357">
        <v>0</v>
      </c>
      <c r="W247" s="9">
        <f>2137661.38/640.83</f>
        <v>3335.7698297520401</v>
      </c>
    </row>
    <row r="248" spans="1:23" ht="9" hidden="1" customHeight="1">
      <c r="A248" s="566" t="s">
        <v>395</v>
      </c>
      <c r="B248" s="566"/>
      <c r="C248" s="566"/>
      <c r="D248" s="566"/>
      <c r="E248" s="566"/>
      <c r="F248" s="566"/>
      <c r="G248" s="566"/>
      <c r="H248" s="566"/>
      <c r="I248" s="566"/>
      <c r="J248" s="566"/>
      <c r="K248" s="566"/>
      <c r="L248" s="566"/>
      <c r="M248" s="566"/>
      <c r="N248" s="566"/>
      <c r="O248" s="566"/>
      <c r="P248" s="566"/>
      <c r="Q248" s="566"/>
      <c r="R248" s="566"/>
      <c r="S248" s="566"/>
      <c r="T248" s="566"/>
      <c r="U248" s="566"/>
      <c r="V248" s="566"/>
    </row>
    <row r="249" spans="1:23" ht="22.5" hidden="1" customHeight="1">
      <c r="A249" s="565" t="s">
        <v>326</v>
      </c>
      <c r="B249" s="565"/>
      <c r="C249" s="396"/>
      <c r="D249" s="396"/>
      <c r="E249" s="397">
        <f>E250+E251</f>
        <v>3591956.5999999996</v>
      </c>
      <c r="F249" s="397">
        <v>0</v>
      </c>
      <c r="G249" s="398">
        <v>0</v>
      </c>
      <c r="H249" s="397">
        <v>0</v>
      </c>
      <c r="I249" s="397">
        <f>I250+I251</f>
        <v>998.8</v>
      </c>
      <c r="J249" s="397"/>
      <c r="K249" s="397"/>
      <c r="L249" s="397">
        <f>SUM(L250:L251)</f>
        <v>3591956.5999999996</v>
      </c>
      <c r="M249" s="397">
        <v>0</v>
      </c>
      <c r="N249" s="397">
        <v>0</v>
      </c>
      <c r="O249" s="397">
        <v>0</v>
      </c>
      <c r="P249" s="397">
        <v>0</v>
      </c>
      <c r="Q249" s="397">
        <v>0</v>
      </c>
      <c r="R249" s="397">
        <v>0</v>
      </c>
      <c r="S249" s="397">
        <v>0</v>
      </c>
      <c r="T249" s="397">
        <v>0</v>
      </c>
      <c r="U249" s="397">
        <v>0</v>
      </c>
      <c r="V249" s="397">
        <v>0</v>
      </c>
    </row>
    <row r="250" spans="1:23" ht="9" hidden="1" customHeight="1">
      <c r="A250" s="399">
        <v>192</v>
      </c>
      <c r="B250" s="400" t="s">
        <v>329</v>
      </c>
      <c r="C250" s="401" t="s">
        <v>998</v>
      </c>
      <c r="D250" s="396"/>
      <c r="E250" s="357">
        <f>F250+H250+L250+N250+P250+R250+S250+T250+U250+V250</f>
        <v>2041266.72</v>
      </c>
      <c r="F250" s="397">
        <v>0</v>
      </c>
      <c r="G250" s="398">
        <v>0</v>
      </c>
      <c r="H250" s="397">
        <v>0</v>
      </c>
      <c r="I250" s="397">
        <v>544.79999999999995</v>
      </c>
      <c r="J250" s="357" t="s">
        <v>109</v>
      </c>
      <c r="K250" s="357">
        <v>3438.05</v>
      </c>
      <c r="L250" s="357">
        <v>2041266.72</v>
      </c>
      <c r="M250" s="397">
        <v>0</v>
      </c>
      <c r="N250" s="397">
        <v>0</v>
      </c>
      <c r="O250" s="397">
        <v>0</v>
      </c>
      <c r="P250" s="397">
        <v>0</v>
      </c>
      <c r="Q250" s="397">
        <v>0</v>
      </c>
      <c r="R250" s="397">
        <v>0</v>
      </c>
      <c r="S250" s="397">
        <v>0</v>
      </c>
      <c r="T250" s="397">
        <v>0</v>
      </c>
      <c r="U250" s="397">
        <v>0</v>
      </c>
      <c r="V250" s="397">
        <v>0</v>
      </c>
    </row>
    <row r="251" spans="1:23" ht="9" hidden="1" customHeight="1">
      <c r="A251" s="399">
        <v>193</v>
      </c>
      <c r="B251" s="400" t="s">
        <v>332</v>
      </c>
      <c r="C251" s="401" t="s">
        <v>998</v>
      </c>
      <c r="D251" s="396"/>
      <c r="E251" s="357">
        <f>F251+H251+L251+N251+P251+R251+S251+T251+U251+V251</f>
        <v>1550689.88</v>
      </c>
      <c r="F251" s="397">
        <v>0</v>
      </c>
      <c r="G251" s="398">
        <v>0</v>
      </c>
      <c r="H251" s="397">
        <v>0</v>
      </c>
      <c r="I251" s="397">
        <v>454</v>
      </c>
      <c r="J251" s="357" t="s">
        <v>109</v>
      </c>
      <c r="K251" s="357">
        <v>3438.05</v>
      </c>
      <c r="L251" s="357">
        <v>1550689.88</v>
      </c>
      <c r="M251" s="397">
        <v>0</v>
      </c>
      <c r="N251" s="397">
        <v>0</v>
      </c>
      <c r="O251" s="397">
        <v>0</v>
      </c>
      <c r="P251" s="397">
        <v>0</v>
      </c>
      <c r="Q251" s="397">
        <v>0</v>
      </c>
      <c r="R251" s="397">
        <v>0</v>
      </c>
      <c r="S251" s="397">
        <v>0</v>
      </c>
      <c r="T251" s="397">
        <v>0</v>
      </c>
      <c r="U251" s="397">
        <v>0</v>
      </c>
      <c r="V251" s="397">
        <v>0</v>
      </c>
    </row>
    <row r="252" spans="1:23" ht="9" hidden="1" customHeight="1">
      <c r="A252" s="566" t="s">
        <v>327</v>
      </c>
      <c r="B252" s="566"/>
      <c r="C252" s="566"/>
      <c r="D252" s="566"/>
      <c r="E252" s="566"/>
      <c r="F252" s="566"/>
      <c r="G252" s="566"/>
      <c r="H252" s="566"/>
      <c r="I252" s="566"/>
      <c r="J252" s="566"/>
      <c r="K252" s="566"/>
      <c r="L252" s="566"/>
      <c r="M252" s="566"/>
      <c r="N252" s="566"/>
      <c r="O252" s="566"/>
      <c r="P252" s="566"/>
      <c r="Q252" s="566"/>
      <c r="R252" s="566"/>
      <c r="S252" s="566"/>
      <c r="T252" s="566"/>
      <c r="U252" s="566"/>
      <c r="V252" s="566"/>
    </row>
    <row r="253" spans="1:23" ht="22.5" hidden="1" customHeight="1">
      <c r="A253" s="565" t="s">
        <v>328</v>
      </c>
      <c r="B253" s="565"/>
      <c r="C253" s="396"/>
      <c r="D253" s="396"/>
      <c r="E253" s="397">
        <f>E254+E255</f>
        <v>6597086.1400000006</v>
      </c>
      <c r="F253" s="397">
        <v>0</v>
      </c>
      <c r="G253" s="398">
        <v>0</v>
      </c>
      <c r="H253" s="397">
        <v>0</v>
      </c>
      <c r="I253" s="397">
        <f>I254+I255</f>
        <v>1979.5</v>
      </c>
      <c r="J253" s="397"/>
      <c r="K253" s="397"/>
      <c r="L253" s="397">
        <f>L254+L255</f>
        <v>6597086.1400000006</v>
      </c>
      <c r="M253" s="397">
        <v>0</v>
      </c>
      <c r="N253" s="397">
        <v>0</v>
      </c>
      <c r="O253" s="397">
        <v>0</v>
      </c>
      <c r="P253" s="397">
        <v>0</v>
      </c>
      <c r="Q253" s="397">
        <v>0</v>
      </c>
      <c r="R253" s="397">
        <v>0</v>
      </c>
      <c r="S253" s="397">
        <v>0</v>
      </c>
      <c r="T253" s="397">
        <v>0</v>
      </c>
      <c r="U253" s="397">
        <v>0</v>
      </c>
      <c r="V253" s="397">
        <v>0</v>
      </c>
    </row>
    <row r="254" spans="1:23" ht="9" hidden="1" customHeight="1">
      <c r="A254" s="399">
        <v>194</v>
      </c>
      <c r="B254" s="400" t="s">
        <v>330</v>
      </c>
      <c r="C254" s="396" t="s">
        <v>997</v>
      </c>
      <c r="D254" s="396"/>
      <c r="E254" s="357">
        <f>F254+H254+L254+N254+P254+R254+S254+T254+U254+V254</f>
        <v>3865908.46</v>
      </c>
      <c r="F254" s="397">
        <v>0</v>
      </c>
      <c r="G254" s="398">
        <v>0</v>
      </c>
      <c r="H254" s="397">
        <v>0</v>
      </c>
      <c r="I254" s="397">
        <v>1023.2</v>
      </c>
      <c r="J254" s="387" t="s">
        <v>108</v>
      </c>
      <c r="K254" s="357">
        <v>2022.07</v>
      </c>
      <c r="L254" s="357">
        <v>3865908.46</v>
      </c>
      <c r="M254" s="397">
        <v>0</v>
      </c>
      <c r="N254" s="397">
        <v>0</v>
      </c>
      <c r="O254" s="397">
        <v>0</v>
      </c>
      <c r="P254" s="397">
        <v>0</v>
      </c>
      <c r="Q254" s="397">
        <v>0</v>
      </c>
      <c r="R254" s="397">
        <v>0</v>
      </c>
      <c r="S254" s="397">
        <v>0</v>
      </c>
      <c r="T254" s="397">
        <v>0</v>
      </c>
      <c r="U254" s="397">
        <v>0</v>
      </c>
      <c r="V254" s="397">
        <v>0</v>
      </c>
    </row>
    <row r="255" spans="1:23" ht="9" hidden="1" customHeight="1">
      <c r="A255" s="399">
        <v>195</v>
      </c>
      <c r="B255" s="400" t="s">
        <v>331</v>
      </c>
      <c r="C255" s="396" t="s">
        <v>997</v>
      </c>
      <c r="D255" s="396"/>
      <c r="E255" s="357">
        <f>F255+H255+L255+N255+P255+R255+S255+T255+U255+V255</f>
        <v>2731177.68</v>
      </c>
      <c r="F255" s="397">
        <v>0</v>
      </c>
      <c r="G255" s="398">
        <v>0</v>
      </c>
      <c r="H255" s="397">
        <v>0</v>
      </c>
      <c r="I255" s="397">
        <v>956.3</v>
      </c>
      <c r="J255" s="387" t="s">
        <v>108</v>
      </c>
      <c r="K255" s="357">
        <v>2022.07</v>
      </c>
      <c r="L255" s="357">
        <v>2731177.68</v>
      </c>
      <c r="M255" s="397">
        <v>0</v>
      </c>
      <c r="N255" s="397">
        <v>0</v>
      </c>
      <c r="O255" s="397">
        <v>0</v>
      </c>
      <c r="P255" s="397">
        <v>0</v>
      </c>
      <c r="Q255" s="397">
        <v>0</v>
      </c>
      <c r="R255" s="397">
        <v>0</v>
      </c>
      <c r="S255" s="397">
        <v>0</v>
      </c>
      <c r="T255" s="397">
        <v>0</v>
      </c>
      <c r="U255" s="397">
        <v>0</v>
      </c>
      <c r="V255" s="397">
        <v>0</v>
      </c>
    </row>
    <row r="256" spans="1:23" ht="9" hidden="1" customHeight="1">
      <c r="A256" s="566" t="s">
        <v>401</v>
      </c>
      <c r="B256" s="566"/>
      <c r="C256" s="566"/>
      <c r="D256" s="566"/>
      <c r="E256" s="566"/>
      <c r="F256" s="566"/>
      <c r="G256" s="566"/>
      <c r="H256" s="566"/>
      <c r="I256" s="566"/>
      <c r="J256" s="566"/>
      <c r="K256" s="566"/>
      <c r="L256" s="566"/>
      <c r="M256" s="566"/>
      <c r="N256" s="566"/>
      <c r="O256" s="566"/>
      <c r="P256" s="566"/>
      <c r="Q256" s="566"/>
      <c r="R256" s="566"/>
      <c r="S256" s="566"/>
      <c r="T256" s="566"/>
      <c r="U256" s="566"/>
      <c r="V256" s="566"/>
    </row>
    <row r="257" spans="1:22" ht="24.75" hidden="1" customHeight="1">
      <c r="A257" s="565" t="s">
        <v>402</v>
      </c>
      <c r="B257" s="565"/>
      <c r="C257" s="396"/>
      <c r="D257" s="396"/>
      <c r="E257" s="397">
        <f>E258</f>
        <v>2050199.17</v>
      </c>
      <c r="F257" s="397">
        <v>0</v>
      </c>
      <c r="G257" s="398">
        <v>0</v>
      </c>
      <c r="H257" s="397">
        <v>0</v>
      </c>
      <c r="I257" s="397">
        <f>I258</f>
        <v>618.1</v>
      </c>
      <c r="J257" s="397"/>
      <c r="K257" s="397"/>
      <c r="L257" s="397">
        <f>L258</f>
        <v>2050199.17</v>
      </c>
      <c r="M257" s="397">
        <v>0</v>
      </c>
      <c r="N257" s="397">
        <v>0</v>
      </c>
      <c r="O257" s="397">
        <v>0</v>
      </c>
      <c r="P257" s="397">
        <v>0</v>
      </c>
      <c r="Q257" s="397">
        <v>0</v>
      </c>
      <c r="R257" s="397">
        <v>0</v>
      </c>
      <c r="S257" s="397">
        <v>0</v>
      </c>
      <c r="T257" s="397">
        <v>0</v>
      </c>
      <c r="U257" s="397">
        <v>0</v>
      </c>
      <c r="V257" s="397">
        <v>0</v>
      </c>
    </row>
    <row r="258" spans="1:22" ht="9" hidden="1" customHeight="1">
      <c r="A258" s="399">
        <v>196</v>
      </c>
      <c r="B258" s="400" t="s">
        <v>403</v>
      </c>
      <c r="C258" s="355" t="s">
        <v>998</v>
      </c>
      <c r="D258" s="355"/>
      <c r="E258" s="357">
        <f t="shared" ref="E258:E266" si="27">F258+H258+L258+N258+P258+R258+S258+T258+U258+V258</f>
        <v>2050199.17</v>
      </c>
      <c r="F258" s="397">
        <v>0</v>
      </c>
      <c r="G258" s="398">
        <v>0</v>
      </c>
      <c r="H258" s="397">
        <v>0</v>
      </c>
      <c r="I258" s="397">
        <v>618.1</v>
      </c>
      <c r="J258" s="357" t="s">
        <v>109</v>
      </c>
      <c r="K258" s="357">
        <v>3438.05</v>
      </c>
      <c r="L258" s="357">
        <v>2050199.17</v>
      </c>
      <c r="M258" s="397">
        <v>0</v>
      </c>
      <c r="N258" s="397">
        <v>0</v>
      </c>
      <c r="O258" s="397">
        <v>0</v>
      </c>
      <c r="P258" s="397">
        <v>0</v>
      </c>
      <c r="Q258" s="397">
        <v>0</v>
      </c>
      <c r="R258" s="397">
        <v>0</v>
      </c>
      <c r="S258" s="397">
        <v>0</v>
      </c>
      <c r="T258" s="397">
        <v>0</v>
      </c>
      <c r="U258" s="397">
        <v>0</v>
      </c>
      <c r="V258" s="397">
        <v>0</v>
      </c>
    </row>
    <row r="259" spans="1:22" ht="9" hidden="1" customHeight="1">
      <c r="A259" s="566" t="s">
        <v>423</v>
      </c>
      <c r="B259" s="566"/>
      <c r="C259" s="566"/>
      <c r="D259" s="566"/>
      <c r="E259" s="566"/>
      <c r="F259" s="566"/>
      <c r="G259" s="566"/>
      <c r="H259" s="566"/>
      <c r="I259" s="566"/>
      <c r="J259" s="566"/>
      <c r="K259" s="566"/>
      <c r="L259" s="566"/>
      <c r="M259" s="566"/>
      <c r="N259" s="566"/>
      <c r="O259" s="566"/>
      <c r="P259" s="566"/>
      <c r="Q259" s="566"/>
      <c r="R259" s="566"/>
      <c r="S259" s="566"/>
      <c r="T259" s="566"/>
      <c r="U259" s="566"/>
      <c r="V259" s="566"/>
    </row>
    <row r="260" spans="1:22" ht="22.5" hidden="1" customHeight="1">
      <c r="A260" s="559" t="s">
        <v>424</v>
      </c>
      <c r="B260" s="559"/>
      <c r="C260" s="355"/>
      <c r="D260" s="355"/>
      <c r="E260" s="357">
        <f>SUM(E261:E266)</f>
        <v>17308788.909999996</v>
      </c>
      <c r="F260" s="357">
        <v>0</v>
      </c>
      <c r="G260" s="359">
        <v>0</v>
      </c>
      <c r="H260" s="357">
        <v>0</v>
      </c>
      <c r="I260" s="357">
        <f>SUM(I261:I266)</f>
        <v>5388.46</v>
      </c>
      <c r="J260" s="357"/>
      <c r="K260" s="357"/>
      <c r="L260" s="357">
        <f>SUM(L261:L266)</f>
        <v>17308788.909999996</v>
      </c>
      <c r="M260" s="357">
        <v>0</v>
      </c>
      <c r="N260" s="357">
        <v>0</v>
      </c>
      <c r="O260" s="357">
        <v>0</v>
      </c>
      <c r="P260" s="357">
        <v>0</v>
      </c>
      <c r="Q260" s="357">
        <v>0</v>
      </c>
      <c r="R260" s="357">
        <v>0</v>
      </c>
      <c r="S260" s="357">
        <v>0</v>
      </c>
      <c r="T260" s="357">
        <v>0</v>
      </c>
      <c r="U260" s="357">
        <v>0</v>
      </c>
      <c r="V260" s="357">
        <v>0</v>
      </c>
    </row>
    <row r="261" spans="1:22" ht="9" hidden="1" customHeight="1">
      <c r="A261" s="358">
        <v>197</v>
      </c>
      <c r="B261" s="371" t="s">
        <v>409</v>
      </c>
      <c r="C261" s="355" t="s">
        <v>997</v>
      </c>
      <c r="D261" s="355"/>
      <c r="E261" s="357">
        <f t="shared" si="27"/>
        <v>4206410</v>
      </c>
      <c r="F261" s="357">
        <v>0</v>
      </c>
      <c r="G261" s="359">
        <v>0</v>
      </c>
      <c r="H261" s="357">
        <v>0</v>
      </c>
      <c r="I261" s="357">
        <v>1237.2</v>
      </c>
      <c r="J261" s="357" t="s">
        <v>108</v>
      </c>
      <c r="K261" s="357">
        <v>2022.07</v>
      </c>
      <c r="L261" s="357">
        <v>4206410</v>
      </c>
      <c r="M261" s="357">
        <v>0</v>
      </c>
      <c r="N261" s="357">
        <v>0</v>
      </c>
      <c r="O261" s="357">
        <v>0</v>
      </c>
      <c r="P261" s="357">
        <v>0</v>
      </c>
      <c r="Q261" s="357">
        <v>0</v>
      </c>
      <c r="R261" s="357">
        <v>0</v>
      </c>
      <c r="S261" s="357">
        <v>0</v>
      </c>
      <c r="T261" s="357">
        <v>0</v>
      </c>
      <c r="U261" s="357">
        <v>0</v>
      </c>
      <c r="V261" s="357">
        <v>0</v>
      </c>
    </row>
    <row r="262" spans="1:22" s="335" customFormat="1" ht="9" hidden="1" customHeight="1">
      <c r="A262" s="358">
        <v>198</v>
      </c>
      <c r="B262" s="371" t="s">
        <v>368</v>
      </c>
      <c r="C262" s="355" t="s">
        <v>997</v>
      </c>
      <c r="D262" s="355"/>
      <c r="E262" s="357">
        <f t="shared" si="27"/>
        <v>4363425.54</v>
      </c>
      <c r="F262" s="357">
        <v>0</v>
      </c>
      <c r="G262" s="359">
        <v>0</v>
      </c>
      <c r="H262" s="357">
        <v>0</v>
      </c>
      <c r="I262" s="357">
        <v>1569</v>
      </c>
      <c r="J262" s="387" t="s">
        <v>108</v>
      </c>
      <c r="K262" s="357">
        <v>2022.07</v>
      </c>
      <c r="L262" s="357">
        <v>4363425.54</v>
      </c>
      <c r="M262" s="357">
        <v>0</v>
      </c>
      <c r="N262" s="357">
        <v>0</v>
      </c>
      <c r="O262" s="357">
        <v>0</v>
      </c>
      <c r="P262" s="357">
        <v>0</v>
      </c>
      <c r="Q262" s="357">
        <v>0</v>
      </c>
      <c r="R262" s="357">
        <v>0</v>
      </c>
      <c r="S262" s="357">
        <v>0</v>
      </c>
      <c r="T262" s="357">
        <v>0</v>
      </c>
      <c r="U262" s="357">
        <v>0</v>
      </c>
      <c r="V262" s="357">
        <v>0</v>
      </c>
    </row>
    <row r="263" spans="1:22" ht="9" hidden="1" customHeight="1">
      <c r="A263" s="358">
        <v>199</v>
      </c>
      <c r="B263" s="371" t="s">
        <v>333</v>
      </c>
      <c r="C263" s="355" t="s">
        <v>997</v>
      </c>
      <c r="D263" s="355"/>
      <c r="E263" s="357">
        <f t="shared" si="27"/>
        <v>3629686.28</v>
      </c>
      <c r="F263" s="357">
        <v>0</v>
      </c>
      <c r="G263" s="359">
        <v>0</v>
      </c>
      <c r="H263" s="357">
        <v>0</v>
      </c>
      <c r="I263" s="357">
        <v>975.5</v>
      </c>
      <c r="J263" s="387" t="s">
        <v>108</v>
      </c>
      <c r="K263" s="357">
        <v>2022.07</v>
      </c>
      <c r="L263" s="357">
        <v>3629686.28</v>
      </c>
      <c r="M263" s="357">
        <v>0</v>
      </c>
      <c r="N263" s="357">
        <v>0</v>
      </c>
      <c r="O263" s="357">
        <v>0</v>
      </c>
      <c r="P263" s="357">
        <v>0</v>
      </c>
      <c r="Q263" s="357">
        <v>0</v>
      </c>
      <c r="R263" s="357">
        <v>0</v>
      </c>
      <c r="S263" s="357">
        <v>0</v>
      </c>
      <c r="T263" s="357">
        <v>0</v>
      </c>
      <c r="U263" s="357">
        <v>0</v>
      </c>
      <c r="V263" s="357">
        <v>0</v>
      </c>
    </row>
    <row r="264" spans="1:22" ht="9" hidden="1" customHeight="1">
      <c r="A264" s="358">
        <v>200</v>
      </c>
      <c r="B264" s="371" t="s">
        <v>336</v>
      </c>
      <c r="C264" s="355" t="s">
        <v>998</v>
      </c>
      <c r="D264" s="355"/>
      <c r="E264" s="357">
        <f t="shared" si="27"/>
        <v>2417022.98</v>
      </c>
      <c r="F264" s="357">
        <v>0</v>
      </c>
      <c r="G264" s="359">
        <v>0</v>
      </c>
      <c r="H264" s="357">
        <v>0</v>
      </c>
      <c r="I264" s="357">
        <v>755.76</v>
      </c>
      <c r="J264" s="357" t="s">
        <v>109</v>
      </c>
      <c r="K264" s="357">
        <v>3438.05</v>
      </c>
      <c r="L264" s="357">
        <v>2417022.98</v>
      </c>
      <c r="M264" s="357">
        <v>0</v>
      </c>
      <c r="N264" s="357">
        <v>0</v>
      </c>
      <c r="O264" s="357">
        <v>0</v>
      </c>
      <c r="P264" s="357">
        <v>0</v>
      </c>
      <c r="Q264" s="357">
        <v>0</v>
      </c>
      <c r="R264" s="357">
        <v>0</v>
      </c>
      <c r="S264" s="357">
        <v>0</v>
      </c>
      <c r="T264" s="357">
        <v>0</v>
      </c>
      <c r="U264" s="357">
        <v>0</v>
      </c>
      <c r="V264" s="357">
        <v>0</v>
      </c>
    </row>
    <row r="265" spans="1:22" ht="9" hidden="1" customHeight="1">
      <c r="A265" s="358">
        <v>201</v>
      </c>
      <c r="B265" s="371" t="s">
        <v>334</v>
      </c>
      <c r="C265" s="355" t="s">
        <v>998</v>
      </c>
      <c r="D265" s="355"/>
      <c r="E265" s="357">
        <f t="shared" si="27"/>
        <v>1226713.3700000001</v>
      </c>
      <c r="F265" s="357">
        <v>0</v>
      </c>
      <c r="G265" s="359">
        <v>0</v>
      </c>
      <c r="H265" s="357">
        <v>0</v>
      </c>
      <c r="I265" s="357">
        <v>370</v>
      </c>
      <c r="J265" s="357" t="s">
        <v>109</v>
      </c>
      <c r="K265" s="357">
        <v>3438.05</v>
      </c>
      <c r="L265" s="357">
        <v>1226713.3700000001</v>
      </c>
      <c r="M265" s="357">
        <v>0</v>
      </c>
      <c r="N265" s="357">
        <v>0</v>
      </c>
      <c r="O265" s="357">
        <v>0</v>
      </c>
      <c r="P265" s="357">
        <v>0</v>
      </c>
      <c r="Q265" s="357">
        <v>0</v>
      </c>
      <c r="R265" s="357">
        <v>0</v>
      </c>
      <c r="S265" s="357">
        <v>0</v>
      </c>
      <c r="T265" s="357">
        <v>0</v>
      </c>
      <c r="U265" s="357">
        <v>0</v>
      </c>
      <c r="V265" s="357">
        <v>0</v>
      </c>
    </row>
    <row r="266" spans="1:22" ht="9" hidden="1" customHeight="1">
      <c r="A266" s="358">
        <v>202</v>
      </c>
      <c r="B266" s="371" t="s">
        <v>335</v>
      </c>
      <c r="C266" s="355" t="s">
        <v>998</v>
      </c>
      <c r="D266" s="355"/>
      <c r="E266" s="357">
        <f t="shared" si="27"/>
        <v>1465530.74</v>
      </c>
      <c r="F266" s="357">
        <v>0</v>
      </c>
      <c r="G266" s="359">
        <v>0</v>
      </c>
      <c r="H266" s="357">
        <v>0</v>
      </c>
      <c r="I266" s="357">
        <v>481</v>
      </c>
      <c r="J266" s="357" t="s">
        <v>109</v>
      </c>
      <c r="K266" s="357">
        <v>3438.05</v>
      </c>
      <c r="L266" s="357">
        <v>1465530.74</v>
      </c>
      <c r="M266" s="357">
        <v>0</v>
      </c>
      <c r="N266" s="357">
        <v>0</v>
      </c>
      <c r="O266" s="357">
        <v>0</v>
      </c>
      <c r="P266" s="357">
        <v>0</v>
      </c>
      <c r="Q266" s="357">
        <v>0</v>
      </c>
      <c r="R266" s="357">
        <v>0</v>
      </c>
      <c r="S266" s="357">
        <v>0</v>
      </c>
      <c r="T266" s="357">
        <v>0</v>
      </c>
      <c r="U266" s="357">
        <v>0</v>
      </c>
      <c r="V266" s="357">
        <v>0</v>
      </c>
    </row>
    <row r="267" spans="1:22" ht="9" hidden="1" customHeight="1">
      <c r="A267" s="550" t="s">
        <v>338</v>
      </c>
      <c r="B267" s="550"/>
      <c r="C267" s="550"/>
      <c r="D267" s="550"/>
      <c r="E267" s="550"/>
      <c r="F267" s="550"/>
      <c r="G267" s="550"/>
      <c r="H267" s="550"/>
      <c r="I267" s="550"/>
      <c r="J267" s="550"/>
      <c r="K267" s="550"/>
      <c r="L267" s="550"/>
      <c r="M267" s="550"/>
      <c r="N267" s="550"/>
      <c r="O267" s="550"/>
      <c r="P267" s="550"/>
      <c r="Q267" s="550"/>
      <c r="R267" s="550"/>
      <c r="S267" s="550"/>
      <c r="T267" s="550"/>
      <c r="U267" s="550"/>
      <c r="V267" s="550"/>
    </row>
    <row r="268" spans="1:22" ht="21.75" hidden="1" customHeight="1">
      <c r="A268" s="559" t="s">
        <v>339</v>
      </c>
      <c r="B268" s="559"/>
      <c r="C268" s="355"/>
      <c r="D268" s="355"/>
      <c r="E268" s="357">
        <f>E269+E270</f>
        <v>2592742.1</v>
      </c>
      <c r="F268" s="357">
        <v>0</v>
      </c>
      <c r="G268" s="359">
        <v>0</v>
      </c>
      <c r="H268" s="357">
        <v>0</v>
      </c>
      <c r="I268" s="357">
        <f>I269+I270</f>
        <v>762</v>
      </c>
      <c r="J268" s="357"/>
      <c r="K268" s="357"/>
      <c r="L268" s="357">
        <f>L269+L270</f>
        <v>2592742.1</v>
      </c>
      <c r="M268" s="357">
        <v>0</v>
      </c>
      <c r="N268" s="357">
        <v>0</v>
      </c>
      <c r="O268" s="357">
        <v>0</v>
      </c>
      <c r="P268" s="357">
        <v>0</v>
      </c>
      <c r="Q268" s="357">
        <v>0</v>
      </c>
      <c r="R268" s="357">
        <v>0</v>
      </c>
      <c r="S268" s="357">
        <v>0</v>
      </c>
      <c r="T268" s="357">
        <v>0</v>
      </c>
      <c r="U268" s="357">
        <v>0</v>
      </c>
      <c r="V268" s="357">
        <v>0</v>
      </c>
    </row>
    <row r="269" spans="1:22" ht="9" hidden="1" customHeight="1">
      <c r="A269" s="358">
        <v>203</v>
      </c>
      <c r="B269" s="371" t="s">
        <v>340</v>
      </c>
      <c r="C269" s="355" t="s">
        <v>998</v>
      </c>
      <c r="D269" s="355"/>
      <c r="E269" s="357">
        <f>F269+H269+L269+N269+P269+R269+S269+T269+U269+V269</f>
        <v>942574.3</v>
      </c>
      <c r="F269" s="357">
        <v>0</v>
      </c>
      <c r="G269" s="359">
        <v>0</v>
      </c>
      <c r="H269" s="357">
        <v>0</v>
      </c>
      <c r="I269" s="357">
        <v>286</v>
      </c>
      <c r="J269" s="357" t="s">
        <v>109</v>
      </c>
      <c r="K269" s="357">
        <v>3438.05</v>
      </c>
      <c r="L269" s="357">
        <v>942574.3</v>
      </c>
      <c r="M269" s="357">
        <v>0</v>
      </c>
      <c r="N269" s="357">
        <v>0</v>
      </c>
      <c r="O269" s="357">
        <v>0</v>
      </c>
      <c r="P269" s="357">
        <v>0</v>
      </c>
      <c r="Q269" s="357">
        <v>0</v>
      </c>
      <c r="R269" s="357">
        <v>0</v>
      </c>
      <c r="S269" s="357">
        <v>0</v>
      </c>
      <c r="T269" s="357">
        <v>0</v>
      </c>
      <c r="U269" s="357">
        <v>0</v>
      </c>
      <c r="V269" s="357">
        <v>0</v>
      </c>
    </row>
    <row r="270" spans="1:22" ht="9" hidden="1" customHeight="1">
      <c r="A270" s="358">
        <v>204</v>
      </c>
      <c r="B270" s="402" t="s">
        <v>341</v>
      </c>
      <c r="C270" s="355" t="s">
        <v>998</v>
      </c>
      <c r="D270" s="355"/>
      <c r="E270" s="357">
        <f>F270+H270+L270+N270+P270+R270+S270+T270+U270+V270</f>
        <v>1650167.8</v>
      </c>
      <c r="F270" s="357">
        <v>0</v>
      </c>
      <c r="G270" s="359">
        <v>0</v>
      </c>
      <c r="H270" s="362">
        <v>0</v>
      </c>
      <c r="I270" s="357">
        <v>476</v>
      </c>
      <c r="J270" s="357" t="s">
        <v>109</v>
      </c>
      <c r="K270" s="357">
        <v>3438.05</v>
      </c>
      <c r="L270" s="357">
        <v>1650167.8</v>
      </c>
      <c r="M270" s="362">
        <v>0</v>
      </c>
      <c r="N270" s="362">
        <v>0</v>
      </c>
      <c r="O270" s="362">
        <v>0</v>
      </c>
      <c r="P270" s="362">
        <v>0</v>
      </c>
      <c r="Q270" s="362">
        <v>0</v>
      </c>
      <c r="R270" s="362">
        <v>0</v>
      </c>
      <c r="S270" s="362">
        <v>0</v>
      </c>
      <c r="T270" s="362">
        <v>0</v>
      </c>
      <c r="U270" s="362">
        <v>0</v>
      </c>
      <c r="V270" s="362">
        <v>0</v>
      </c>
    </row>
    <row r="271" spans="1:22" ht="9" hidden="1" customHeight="1">
      <c r="A271" s="550" t="s">
        <v>1007</v>
      </c>
      <c r="B271" s="550"/>
      <c r="C271" s="550"/>
      <c r="D271" s="550"/>
      <c r="E271" s="550"/>
      <c r="F271" s="550"/>
      <c r="G271" s="550"/>
      <c r="H271" s="550"/>
      <c r="I271" s="550"/>
      <c r="J271" s="550"/>
      <c r="K271" s="550"/>
      <c r="L271" s="550"/>
      <c r="M271" s="550"/>
      <c r="N271" s="550"/>
      <c r="O271" s="550"/>
      <c r="P271" s="550"/>
      <c r="Q271" s="550"/>
      <c r="R271" s="550"/>
      <c r="S271" s="550"/>
      <c r="T271" s="550"/>
      <c r="U271" s="550"/>
      <c r="V271" s="550"/>
    </row>
    <row r="272" spans="1:22" ht="21.75" hidden="1" customHeight="1">
      <c r="A272" s="559" t="s">
        <v>343</v>
      </c>
      <c r="B272" s="559"/>
      <c r="C272" s="355"/>
      <c r="D272" s="355"/>
      <c r="E272" s="357">
        <f>SUM(E273:E276)</f>
        <v>6877592.8399999999</v>
      </c>
      <c r="F272" s="357">
        <v>0</v>
      </c>
      <c r="G272" s="359">
        <v>0</v>
      </c>
      <c r="H272" s="357">
        <v>0</v>
      </c>
      <c r="I272" s="357">
        <f>SUM(I273:I276)</f>
        <v>1989.7999999999997</v>
      </c>
      <c r="J272" s="357"/>
      <c r="K272" s="357"/>
      <c r="L272" s="357">
        <f>SUM(L273:L276)</f>
        <v>6877592.8399999999</v>
      </c>
      <c r="M272" s="357">
        <v>0</v>
      </c>
      <c r="N272" s="357">
        <v>0</v>
      </c>
      <c r="O272" s="357">
        <v>0</v>
      </c>
      <c r="P272" s="357">
        <v>0</v>
      </c>
      <c r="Q272" s="357">
        <v>0</v>
      </c>
      <c r="R272" s="357">
        <v>0</v>
      </c>
      <c r="S272" s="357">
        <v>0</v>
      </c>
      <c r="T272" s="357">
        <v>0</v>
      </c>
      <c r="U272" s="357">
        <v>0</v>
      </c>
      <c r="V272" s="357">
        <v>0</v>
      </c>
    </row>
    <row r="273" spans="1:22" ht="9" hidden="1" customHeight="1">
      <c r="A273" s="358">
        <v>205</v>
      </c>
      <c r="B273" s="371" t="s">
        <v>345</v>
      </c>
      <c r="C273" s="355" t="s">
        <v>998</v>
      </c>
      <c r="D273" s="355"/>
      <c r="E273" s="357">
        <f>F273+H273+L273+N273+P273+R273+S273+T273+U273+V273</f>
        <v>1838962.93</v>
      </c>
      <c r="F273" s="357">
        <v>0</v>
      </c>
      <c r="G273" s="359">
        <v>0</v>
      </c>
      <c r="H273" s="357">
        <v>0</v>
      </c>
      <c r="I273" s="357">
        <v>527.54999999999995</v>
      </c>
      <c r="J273" s="357" t="s">
        <v>109</v>
      </c>
      <c r="K273" s="357">
        <v>3438.05</v>
      </c>
      <c r="L273" s="357">
        <v>1838962.93</v>
      </c>
      <c r="M273" s="357">
        <v>0</v>
      </c>
      <c r="N273" s="357">
        <v>0</v>
      </c>
      <c r="O273" s="357">
        <v>0</v>
      </c>
      <c r="P273" s="357">
        <v>0</v>
      </c>
      <c r="Q273" s="357">
        <v>0</v>
      </c>
      <c r="R273" s="357">
        <v>0</v>
      </c>
      <c r="S273" s="357">
        <v>0</v>
      </c>
      <c r="T273" s="357">
        <v>0</v>
      </c>
      <c r="U273" s="357">
        <v>0</v>
      </c>
      <c r="V273" s="357">
        <v>0</v>
      </c>
    </row>
    <row r="274" spans="1:22" ht="9" hidden="1" customHeight="1">
      <c r="A274" s="358">
        <v>206</v>
      </c>
      <c r="B274" s="371" t="s">
        <v>346</v>
      </c>
      <c r="C274" s="355" t="s">
        <v>998</v>
      </c>
      <c r="D274" s="355"/>
      <c r="E274" s="357">
        <f>F274+H274+L274+N274+P274+R274+S274+T274+U274+V274</f>
        <v>1570295.59</v>
      </c>
      <c r="F274" s="357">
        <v>0</v>
      </c>
      <c r="G274" s="359">
        <v>0</v>
      </c>
      <c r="H274" s="357">
        <v>0</v>
      </c>
      <c r="I274" s="357">
        <v>440.65</v>
      </c>
      <c r="J274" s="357" t="s">
        <v>109</v>
      </c>
      <c r="K274" s="357">
        <v>3438.05</v>
      </c>
      <c r="L274" s="357">
        <v>1570295.59</v>
      </c>
      <c r="M274" s="357">
        <v>0</v>
      </c>
      <c r="N274" s="357">
        <v>0</v>
      </c>
      <c r="O274" s="357">
        <v>0</v>
      </c>
      <c r="P274" s="357">
        <v>0</v>
      </c>
      <c r="Q274" s="357">
        <v>0</v>
      </c>
      <c r="R274" s="357">
        <v>0</v>
      </c>
      <c r="S274" s="357">
        <v>0</v>
      </c>
      <c r="T274" s="357">
        <v>0</v>
      </c>
      <c r="U274" s="357">
        <v>0</v>
      </c>
      <c r="V274" s="357">
        <v>0</v>
      </c>
    </row>
    <row r="275" spans="1:22" ht="9" hidden="1" customHeight="1">
      <c r="A275" s="358">
        <v>207</v>
      </c>
      <c r="B275" s="371" t="s">
        <v>344</v>
      </c>
      <c r="C275" s="355" t="s">
        <v>997</v>
      </c>
      <c r="D275" s="355"/>
      <c r="E275" s="357">
        <f>F275+H275+L275+N275+P275+R275+S275+T275+U275+V275</f>
        <v>2207655.35</v>
      </c>
      <c r="F275" s="357">
        <v>0</v>
      </c>
      <c r="G275" s="359">
        <v>0</v>
      </c>
      <c r="H275" s="357">
        <v>0</v>
      </c>
      <c r="I275" s="357">
        <v>655</v>
      </c>
      <c r="J275" s="387" t="s">
        <v>108</v>
      </c>
      <c r="K275" s="357">
        <v>2022.07</v>
      </c>
      <c r="L275" s="357">
        <v>2207655.35</v>
      </c>
      <c r="M275" s="357">
        <v>0</v>
      </c>
      <c r="N275" s="357">
        <v>0</v>
      </c>
      <c r="O275" s="357">
        <v>0</v>
      </c>
      <c r="P275" s="357">
        <v>0</v>
      </c>
      <c r="Q275" s="357">
        <v>0</v>
      </c>
      <c r="R275" s="357">
        <v>0</v>
      </c>
      <c r="S275" s="357">
        <v>0</v>
      </c>
      <c r="T275" s="357">
        <v>0</v>
      </c>
      <c r="U275" s="357">
        <v>0</v>
      </c>
      <c r="V275" s="357">
        <v>0</v>
      </c>
    </row>
    <row r="276" spans="1:22" ht="9" hidden="1" customHeight="1">
      <c r="A276" s="358">
        <v>208</v>
      </c>
      <c r="B276" s="371" t="s">
        <v>371</v>
      </c>
      <c r="C276" s="355" t="s">
        <v>998</v>
      </c>
      <c r="D276" s="355"/>
      <c r="E276" s="357">
        <f>F276+H276+L276+N276+P276+R276+S276+T276+U276+V276</f>
        <v>1260678.97</v>
      </c>
      <c r="F276" s="357">
        <v>0</v>
      </c>
      <c r="G276" s="359">
        <v>0</v>
      </c>
      <c r="H276" s="357">
        <v>0</v>
      </c>
      <c r="I276" s="357">
        <v>366.6</v>
      </c>
      <c r="J276" s="357" t="s">
        <v>109</v>
      </c>
      <c r="K276" s="357">
        <v>3438.05</v>
      </c>
      <c r="L276" s="357">
        <v>1260678.97</v>
      </c>
      <c r="M276" s="357">
        <v>0</v>
      </c>
      <c r="N276" s="357">
        <v>0</v>
      </c>
      <c r="O276" s="357">
        <v>0</v>
      </c>
      <c r="P276" s="357">
        <v>0</v>
      </c>
      <c r="Q276" s="357">
        <v>0</v>
      </c>
      <c r="R276" s="357">
        <v>0</v>
      </c>
      <c r="S276" s="357">
        <v>0</v>
      </c>
      <c r="T276" s="357">
        <v>0</v>
      </c>
      <c r="U276" s="357">
        <v>0</v>
      </c>
      <c r="V276" s="357">
        <v>0</v>
      </c>
    </row>
    <row r="277" spans="1:22" ht="9" hidden="1" customHeight="1">
      <c r="A277" s="550" t="s">
        <v>419</v>
      </c>
      <c r="B277" s="550"/>
      <c r="C277" s="550"/>
      <c r="D277" s="550"/>
      <c r="E277" s="550"/>
      <c r="F277" s="550"/>
      <c r="G277" s="550"/>
      <c r="H277" s="550"/>
      <c r="I277" s="550"/>
      <c r="J277" s="550"/>
      <c r="K277" s="550"/>
      <c r="L277" s="550"/>
      <c r="M277" s="550"/>
      <c r="N277" s="550"/>
      <c r="O277" s="550"/>
      <c r="P277" s="550"/>
      <c r="Q277" s="550"/>
      <c r="R277" s="550"/>
      <c r="S277" s="550"/>
      <c r="T277" s="550"/>
      <c r="U277" s="550"/>
      <c r="V277" s="550"/>
    </row>
    <row r="278" spans="1:22" ht="23.25" hidden="1" customHeight="1">
      <c r="A278" s="559" t="s">
        <v>420</v>
      </c>
      <c r="B278" s="559"/>
      <c r="C278" s="355"/>
      <c r="D278" s="355"/>
      <c r="E278" s="357">
        <f>SUM(E279:E280)</f>
        <v>2813785.03</v>
      </c>
      <c r="F278" s="357">
        <f t="shared" ref="F278:V278" si="28">SUM(F279:F280)</f>
        <v>0</v>
      </c>
      <c r="G278" s="360">
        <f t="shared" si="28"/>
        <v>0</v>
      </c>
      <c r="H278" s="357">
        <f t="shared" si="28"/>
        <v>0</v>
      </c>
      <c r="I278" s="357">
        <f>SUM(I279:I280)</f>
        <v>760</v>
      </c>
      <c r="J278" s="357">
        <f t="shared" si="28"/>
        <v>0</v>
      </c>
      <c r="K278" s="357">
        <f t="shared" si="28"/>
        <v>6876.1</v>
      </c>
      <c r="L278" s="357">
        <f>SUM(L279:L280)</f>
        <v>2813785.03</v>
      </c>
      <c r="M278" s="357">
        <f t="shared" si="28"/>
        <v>0</v>
      </c>
      <c r="N278" s="357">
        <f t="shared" si="28"/>
        <v>0</v>
      </c>
      <c r="O278" s="357">
        <f t="shared" si="28"/>
        <v>0</v>
      </c>
      <c r="P278" s="357">
        <f t="shared" si="28"/>
        <v>0</v>
      </c>
      <c r="Q278" s="357">
        <f t="shared" si="28"/>
        <v>0</v>
      </c>
      <c r="R278" s="357">
        <f t="shared" si="28"/>
        <v>0</v>
      </c>
      <c r="S278" s="357">
        <f t="shared" si="28"/>
        <v>0</v>
      </c>
      <c r="T278" s="357">
        <f t="shared" si="28"/>
        <v>0</v>
      </c>
      <c r="U278" s="357">
        <f t="shared" si="28"/>
        <v>0</v>
      </c>
      <c r="V278" s="357">
        <f t="shared" si="28"/>
        <v>0</v>
      </c>
    </row>
    <row r="279" spans="1:22" s="335" customFormat="1" ht="9" hidden="1" customHeight="1">
      <c r="A279" s="358">
        <v>209</v>
      </c>
      <c r="B279" s="371" t="s">
        <v>417</v>
      </c>
      <c r="C279" s="355" t="s">
        <v>998</v>
      </c>
      <c r="D279" s="355"/>
      <c r="E279" s="357">
        <f>F279+H279+L279+N279+P279+R279+S279+T279+U279+V279</f>
        <v>1406803.4</v>
      </c>
      <c r="F279" s="357">
        <v>0</v>
      </c>
      <c r="G279" s="359">
        <v>0</v>
      </c>
      <c r="H279" s="357">
        <v>0</v>
      </c>
      <c r="I279" s="357">
        <v>380</v>
      </c>
      <c r="J279" s="357" t="s">
        <v>109</v>
      </c>
      <c r="K279" s="357">
        <v>3438.05</v>
      </c>
      <c r="L279" s="357">
        <v>1406803.4</v>
      </c>
      <c r="M279" s="357">
        <v>0</v>
      </c>
      <c r="N279" s="357">
        <v>0</v>
      </c>
      <c r="O279" s="357">
        <v>0</v>
      </c>
      <c r="P279" s="357">
        <v>0</v>
      </c>
      <c r="Q279" s="357">
        <v>0</v>
      </c>
      <c r="R279" s="357">
        <v>0</v>
      </c>
      <c r="S279" s="357">
        <v>0</v>
      </c>
      <c r="T279" s="357">
        <v>0</v>
      </c>
      <c r="U279" s="357">
        <v>0</v>
      </c>
      <c r="V279" s="357">
        <v>0</v>
      </c>
    </row>
    <row r="280" spans="1:22" s="335" customFormat="1" ht="9" hidden="1" customHeight="1">
      <c r="A280" s="358">
        <v>210</v>
      </c>
      <c r="B280" s="371" t="s">
        <v>418</v>
      </c>
      <c r="C280" s="355" t="s">
        <v>998</v>
      </c>
      <c r="D280" s="355"/>
      <c r="E280" s="357">
        <f>F280+H280+L280+N280+P280+R280+S280+T280+U280+V280</f>
        <v>1406981.63</v>
      </c>
      <c r="F280" s="357">
        <v>0</v>
      </c>
      <c r="G280" s="359">
        <v>0</v>
      </c>
      <c r="H280" s="357">
        <v>0</v>
      </c>
      <c r="I280" s="357">
        <v>380</v>
      </c>
      <c r="J280" s="357" t="s">
        <v>109</v>
      </c>
      <c r="K280" s="357">
        <v>3438.05</v>
      </c>
      <c r="L280" s="357">
        <v>1406981.63</v>
      </c>
      <c r="M280" s="357">
        <v>0</v>
      </c>
      <c r="N280" s="357">
        <v>0</v>
      </c>
      <c r="O280" s="357">
        <v>0</v>
      </c>
      <c r="P280" s="357">
        <v>0</v>
      </c>
      <c r="Q280" s="357">
        <v>0</v>
      </c>
      <c r="R280" s="357">
        <v>0</v>
      </c>
      <c r="S280" s="357">
        <v>0</v>
      </c>
      <c r="T280" s="357">
        <v>0</v>
      </c>
      <c r="U280" s="357">
        <v>0</v>
      </c>
      <c r="V280" s="357">
        <v>0</v>
      </c>
    </row>
    <row r="281" spans="1:22" ht="9" hidden="1" customHeight="1">
      <c r="A281" s="550" t="s">
        <v>349</v>
      </c>
      <c r="B281" s="550"/>
      <c r="C281" s="550"/>
      <c r="D281" s="550"/>
      <c r="E281" s="550"/>
      <c r="F281" s="550"/>
      <c r="G281" s="550"/>
      <c r="H281" s="550"/>
      <c r="I281" s="550"/>
      <c r="J281" s="550"/>
      <c r="K281" s="550"/>
      <c r="L281" s="550"/>
      <c r="M281" s="550"/>
      <c r="N281" s="550"/>
      <c r="O281" s="550"/>
      <c r="P281" s="550"/>
      <c r="Q281" s="550"/>
      <c r="R281" s="550"/>
      <c r="S281" s="550"/>
      <c r="T281" s="550"/>
      <c r="U281" s="550"/>
      <c r="V281" s="550"/>
    </row>
    <row r="282" spans="1:22" ht="22.5" hidden="1" customHeight="1">
      <c r="A282" s="559" t="s">
        <v>348</v>
      </c>
      <c r="B282" s="559"/>
      <c r="C282" s="355"/>
      <c r="D282" s="355"/>
      <c r="E282" s="357">
        <f>E283</f>
        <v>3249893.6</v>
      </c>
      <c r="F282" s="357">
        <f t="shared" ref="F282:V282" si="29">F283</f>
        <v>0</v>
      </c>
      <c r="G282" s="360">
        <f t="shared" si="29"/>
        <v>0</v>
      </c>
      <c r="H282" s="357">
        <f t="shared" si="29"/>
        <v>0</v>
      </c>
      <c r="I282" s="357">
        <f>I283</f>
        <v>935</v>
      </c>
      <c r="J282" s="357" t="str">
        <f t="shared" si="29"/>
        <v>скатная</v>
      </c>
      <c r="K282" s="357">
        <f t="shared" si="29"/>
        <v>3438.05</v>
      </c>
      <c r="L282" s="357">
        <f t="shared" si="29"/>
        <v>3249893.6</v>
      </c>
      <c r="M282" s="357">
        <f t="shared" si="29"/>
        <v>0</v>
      </c>
      <c r="N282" s="357">
        <f t="shared" si="29"/>
        <v>0</v>
      </c>
      <c r="O282" s="357">
        <f t="shared" si="29"/>
        <v>0</v>
      </c>
      <c r="P282" s="357">
        <f t="shared" si="29"/>
        <v>0</v>
      </c>
      <c r="Q282" s="357">
        <f t="shared" si="29"/>
        <v>0</v>
      </c>
      <c r="R282" s="357">
        <f t="shared" si="29"/>
        <v>0</v>
      </c>
      <c r="S282" s="357">
        <f t="shared" si="29"/>
        <v>0</v>
      </c>
      <c r="T282" s="357">
        <f t="shared" si="29"/>
        <v>0</v>
      </c>
      <c r="U282" s="357">
        <f t="shared" si="29"/>
        <v>0</v>
      </c>
      <c r="V282" s="357">
        <f t="shared" si="29"/>
        <v>0</v>
      </c>
    </row>
    <row r="283" spans="1:22" ht="9" hidden="1" customHeight="1">
      <c r="A283" s="358">
        <v>211</v>
      </c>
      <c r="B283" s="371" t="s">
        <v>351</v>
      </c>
      <c r="C283" s="355" t="s">
        <v>998</v>
      </c>
      <c r="D283" s="355"/>
      <c r="E283" s="357">
        <f>F283+H283+L283+N283+P283+R283+S283+T283+U283+V283</f>
        <v>3249893.6</v>
      </c>
      <c r="F283" s="357">
        <v>0</v>
      </c>
      <c r="G283" s="359">
        <v>0</v>
      </c>
      <c r="H283" s="357">
        <v>0</v>
      </c>
      <c r="I283" s="357">
        <v>935</v>
      </c>
      <c r="J283" s="357" t="s">
        <v>109</v>
      </c>
      <c r="K283" s="357">
        <v>3438.05</v>
      </c>
      <c r="L283" s="357">
        <v>3249893.6</v>
      </c>
      <c r="M283" s="357">
        <v>0</v>
      </c>
      <c r="N283" s="357">
        <v>0</v>
      </c>
      <c r="O283" s="357">
        <v>0</v>
      </c>
      <c r="P283" s="357">
        <v>0</v>
      </c>
      <c r="Q283" s="357">
        <v>0</v>
      </c>
      <c r="R283" s="357">
        <v>0</v>
      </c>
      <c r="S283" s="357">
        <v>0</v>
      </c>
      <c r="T283" s="357">
        <v>0</v>
      </c>
      <c r="U283" s="357">
        <v>0</v>
      </c>
      <c r="V283" s="357">
        <v>0</v>
      </c>
    </row>
    <row r="284" spans="1:22" ht="9" hidden="1" customHeight="1">
      <c r="A284" s="550" t="s">
        <v>429</v>
      </c>
      <c r="B284" s="550"/>
      <c r="C284" s="550"/>
      <c r="D284" s="550"/>
      <c r="E284" s="550"/>
      <c r="F284" s="550"/>
      <c r="G284" s="550"/>
      <c r="H284" s="550"/>
      <c r="I284" s="550"/>
      <c r="J284" s="550"/>
      <c r="K284" s="550"/>
      <c r="L284" s="550"/>
      <c r="M284" s="550"/>
      <c r="N284" s="550"/>
      <c r="O284" s="550"/>
      <c r="P284" s="550"/>
      <c r="Q284" s="550"/>
      <c r="R284" s="550"/>
      <c r="S284" s="550"/>
      <c r="T284" s="550"/>
      <c r="U284" s="550"/>
      <c r="V284" s="550"/>
    </row>
    <row r="285" spans="1:22" ht="21.75" hidden="1" customHeight="1">
      <c r="A285" s="575" t="s">
        <v>445</v>
      </c>
      <c r="B285" s="575"/>
      <c r="C285" s="403"/>
      <c r="D285" s="403"/>
      <c r="E285" s="404">
        <f>SUM(E286:E287)</f>
        <v>689299.28</v>
      </c>
      <c r="F285" s="404">
        <f t="shared" ref="F285:V285" si="30">SUM(F286:F287)</f>
        <v>689299.28</v>
      </c>
      <c r="G285" s="405">
        <f t="shared" si="30"/>
        <v>0</v>
      </c>
      <c r="H285" s="404">
        <f t="shared" si="30"/>
        <v>0</v>
      </c>
      <c r="I285" s="404">
        <f t="shared" si="30"/>
        <v>0</v>
      </c>
      <c r="J285" s="404">
        <f t="shared" si="30"/>
        <v>0</v>
      </c>
      <c r="K285" s="404">
        <f t="shared" si="30"/>
        <v>355.29999999999995</v>
      </c>
      <c r="L285" s="404">
        <f t="shared" si="30"/>
        <v>0</v>
      </c>
      <c r="M285" s="404">
        <f t="shared" si="30"/>
        <v>0</v>
      </c>
      <c r="N285" s="404">
        <f t="shared" si="30"/>
        <v>0</v>
      </c>
      <c r="O285" s="404">
        <f t="shared" si="30"/>
        <v>0</v>
      </c>
      <c r="P285" s="404">
        <f t="shared" si="30"/>
        <v>0</v>
      </c>
      <c r="Q285" s="404">
        <f t="shared" si="30"/>
        <v>0</v>
      </c>
      <c r="R285" s="404">
        <f t="shared" si="30"/>
        <v>0</v>
      </c>
      <c r="S285" s="404">
        <f t="shared" si="30"/>
        <v>0</v>
      </c>
      <c r="T285" s="404">
        <f t="shared" si="30"/>
        <v>0</v>
      </c>
      <c r="U285" s="404">
        <f t="shared" si="30"/>
        <v>0</v>
      </c>
      <c r="V285" s="404">
        <f t="shared" si="30"/>
        <v>0</v>
      </c>
    </row>
    <row r="286" spans="1:22" s="335" customFormat="1" ht="9" hidden="1" customHeight="1">
      <c r="A286" s="406">
        <v>212</v>
      </c>
      <c r="B286" s="407" t="s">
        <v>352</v>
      </c>
      <c r="C286" s="403" t="s">
        <v>1000</v>
      </c>
      <c r="D286" s="403"/>
      <c r="E286" s="357">
        <f>F286+H286+L286+N286+P286+R286+S286+T286+U286+V286</f>
        <v>344826.61</v>
      </c>
      <c r="F286" s="404">
        <v>344826.61</v>
      </c>
      <c r="G286" s="408">
        <v>0</v>
      </c>
      <c r="H286" s="404">
        <v>0</v>
      </c>
      <c r="I286" s="404">
        <v>0</v>
      </c>
      <c r="J286" s="357" t="s">
        <v>372</v>
      </c>
      <c r="K286" s="357">
        <f>(170)*1.045</f>
        <v>177.64999999999998</v>
      </c>
      <c r="L286" s="404">
        <v>0</v>
      </c>
      <c r="M286" s="404">
        <v>0</v>
      </c>
      <c r="N286" s="404">
        <v>0</v>
      </c>
      <c r="O286" s="404">
        <v>0</v>
      </c>
      <c r="P286" s="404">
        <v>0</v>
      </c>
      <c r="Q286" s="404">
        <v>0</v>
      </c>
      <c r="R286" s="404">
        <v>0</v>
      </c>
      <c r="S286" s="404">
        <v>0</v>
      </c>
      <c r="T286" s="404">
        <v>0</v>
      </c>
      <c r="U286" s="404">
        <v>0</v>
      </c>
      <c r="V286" s="404">
        <v>0</v>
      </c>
    </row>
    <row r="287" spans="1:22" s="335" customFormat="1" ht="9" hidden="1" customHeight="1">
      <c r="A287" s="406">
        <v>213</v>
      </c>
      <c r="B287" s="407" t="s">
        <v>353</v>
      </c>
      <c r="C287" s="403" t="s">
        <v>1000</v>
      </c>
      <c r="D287" s="403"/>
      <c r="E287" s="357">
        <f>F287+H287+L287+N287+P287+R287+S287+T287+U287+V287</f>
        <v>344472.67</v>
      </c>
      <c r="F287" s="404">
        <v>344472.67</v>
      </c>
      <c r="G287" s="408">
        <v>0</v>
      </c>
      <c r="H287" s="404">
        <v>0</v>
      </c>
      <c r="I287" s="404">
        <v>0</v>
      </c>
      <c r="J287" s="357" t="s">
        <v>372</v>
      </c>
      <c r="K287" s="357">
        <f>(170)*1.045</f>
        <v>177.64999999999998</v>
      </c>
      <c r="L287" s="404">
        <v>0</v>
      </c>
      <c r="M287" s="404">
        <v>0</v>
      </c>
      <c r="N287" s="404">
        <v>0</v>
      </c>
      <c r="O287" s="404">
        <v>0</v>
      </c>
      <c r="P287" s="404">
        <v>0</v>
      </c>
      <c r="Q287" s="404">
        <v>0</v>
      </c>
      <c r="R287" s="404">
        <v>0</v>
      </c>
      <c r="S287" s="404">
        <v>0</v>
      </c>
      <c r="T287" s="404">
        <v>0</v>
      </c>
      <c r="U287" s="404">
        <v>0</v>
      </c>
      <c r="V287" s="404">
        <v>0</v>
      </c>
    </row>
    <row r="288" spans="1:22" ht="9" hidden="1" customHeight="1">
      <c r="A288" s="563" t="s">
        <v>1058</v>
      </c>
      <c r="B288" s="563"/>
      <c r="C288" s="563"/>
      <c r="D288" s="563"/>
      <c r="E288" s="563"/>
      <c r="F288" s="563"/>
      <c r="G288" s="563"/>
      <c r="H288" s="563"/>
      <c r="I288" s="563"/>
      <c r="J288" s="563"/>
      <c r="K288" s="563"/>
      <c r="L288" s="563"/>
      <c r="M288" s="563"/>
      <c r="N288" s="563"/>
      <c r="O288" s="563"/>
      <c r="P288" s="563"/>
      <c r="Q288" s="563"/>
      <c r="R288" s="563"/>
      <c r="S288" s="563"/>
      <c r="T288" s="563"/>
      <c r="U288" s="563"/>
      <c r="V288" s="563"/>
    </row>
    <row r="289" spans="1:22" ht="22.5" hidden="1" customHeight="1">
      <c r="A289" s="562" t="s">
        <v>1059</v>
      </c>
      <c r="B289" s="562"/>
      <c r="C289" s="391"/>
      <c r="D289" s="391"/>
      <c r="E289" s="385">
        <f>E290</f>
        <v>1059478.07</v>
      </c>
      <c r="F289" s="385">
        <f t="shared" ref="F289:V289" si="31">F290</f>
        <v>0</v>
      </c>
      <c r="G289" s="409">
        <f t="shared" si="31"/>
        <v>0</v>
      </c>
      <c r="H289" s="385">
        <f t="shared" si="31"/>
        <v>0</v>
      </c>
      <c r="I289" s="385">
        <f t="shared" si="31"/>
        <v>351</v>
      </c>
      <c r="J289" s="385" t="str">
        <f t="shared" si="31"/>
        <v>скатная</v>
      </c>
      <c r="K289" s="385">
        <f t="shared" si="31"/>
        <v>3438.05</v>
      </c>
      <c r="L289" s="385">
        <f t="shared" si="31"/>
        <v>1059478.07</v>
      </c>
      <c r="M289" s="385">
        <f t="shared" si="31"/>
        <v>0</v>
      </c>
      <c r="N289" s="385">
        <f t="shared" si="31"/>
        <v>0</v>
      </c>
      <c r="O289" s="385">
        <f t="shared" si="31"/>
        <v>0</v>
      </c>
      <c r="P289" s="385">
        <f t="shared" si="31"/>
        <v>0</v>
      </c>
      <c r="Q289" s="385">
        <f t="shared" si="31"/>
        <v>0</v>
      </c>
      <c r="R289" s="385">
        <f t="shared" si="31"/>
        <v>0</v>
      </c>
      <c r="S289" s="385">
        <f t="shared" si="31"/>
        <v>0</v>
      </c>
      <c r="T289" s="385">
        <f t="shared" si="31"/>
        <v>0</v>
      </c>
      <c r="U289" s="385">
        <f t="shared" si="31"/>
        <v>0</v>
      </c>
      <c r="V289" s="385">
        <f t="shared" si="31"/>
        <v>0</v>
      </c>
    </row>
    <row r="290" spans="1:22" ht="9" hidden="1" customHeight="1">
      <c r="A290" s="387">
        <v>214</v>
      </c>
      <c r="B290" s="388" t="s">
        <v>356</v>
      </c>
      <c r="C290" s="389" t="s">
        <v>998</v>
      </c>
      <c r="D290" s="391"/>
      <c r="E290" s="357">
        <f>F290+H290+L290+N290+P290+R290+S290+T290+U290+V290</f>
        <v>1059478.07</v>
      </c>
      <c r="F290" s="385">
        <v>0</v>
      </c>
      <c r="G290" s="386">
        <v>0</v>
      </c>
      <c r="H290" s="385">
        <v>0</v>
      </c>
      <c r="I290" s="385">
        <v>351</v>
      </c>
      <c r="J290" s="357" t="s">
        <v>109</v>
      </c>
      <c r="K290" s="357">
        <v>3438.05</v>
      </c>
      <c r="L290" s="357">
        <v>1059478.07</v>
      </c>
      <c r="M290" s="385">
        <v>0</v>
      </c>
      <c r="N290" s="385">
        <v>0</v>
      </c>
      <c r="O290" s="385">
        <v>0</v>
      </c>
      <c r="P290" s="385">
        <v>0</v>
      </c>
      <c r="Q290" s="385">
        <v>0</v>
      </c>
      <c r="R290" s="385">
        <v>0</v>
      </c>
      <c r="S290" s="385">
        <v>0</v>
      </c>
      <c r="T290" s="385">
        <v>0</v>
      </c>
      <c r="U290" s="385">
        <v>0</v>
      </c>
      <c r="V290" s="385">
        <v>0</v>
      </c>
    </row>
    <row r="291" spans="1:22" ht="9" hidden="1" customHeight="1">
      <c r="A291" s="550" t="s">
        <v>358</v>
      </c>
      <c r="B291" s="550"/>
      <c r="C291" s="550"/>
      <c r="D291" s="550"/>
      <c r="E291" s="550"/>
      <c r="F291" s="550"/>
      <c r="G291" s="550"/>
      <c r="H291" s="550"/>
      <c r="I291" s="550"/>
      <c r="J291" s="550"/>
      <c r="K291" s="550"/>
      <c r="L291" s="550"/>
      <c r="M291" s="550"/>
      <c r="N291" s="550"/>
      <c r="O291" s="550"/>
      <c r="P291" s="550"/>
      <c r="Q291" s="550"/>
      <c r="R291" s="550"/>
      <c r="S291" s="550"/>
      <c r="T291" s="550"/>
      <c r="U291" s="550"/>
      <c r="V291" s="550"/>
    </row>
    <row r="292" spans="1:22" ht="22.5" hidden="1" customHeight="1">
      <c r="A292" s="559" t="s">
        <v>446</v>
      </c>
      <c r="B292" s="559"/>
      <c r="C292" s="355"/>
      <c r="D292" s="355"/>
      <c r="E292" s="357">
        <f>SUM(E293:E294)</f>
        <v>6658276.4199999999</v>
      </c>
      <c r="F292" s="357">
        <f t="shared" ref="F292:V292" si="32">SUM(F293:F294)</f>
        <v>0</v>
      </c>
      <c r="G292" s="360">
        <f t="shared" si="32"/>
        <v>0</v>
      </c>
      <c r="H292" s="357">
        <f t="shared" si="32"/>
        <v>0</v>
      </c>
      <c r="I292" s="357">
        <f>SUM(I293:I294)</f>
        <v>2030.4099999999999</v>
      </c>
      <c r="J292" s="357">
        <f t="shared" si="32"/>
        <v>0</v>
      </c>
      <c r="K292" s="357">
        <f t="shared" si="32"/>
        <v>5460.12</v>
      </c>
      <c r="L292" s="357">
        <f t="shared" si="32"/>
        <v>6658276.4199999999</v>
      </c>
      <c r="M292" s="357">
        <f t="shared" si="32"/>
        <v>0</v>
      </c>
      <c r="N292" s="357">
        <f t="shared" si="32"/>
        <v>0</v>
      </c>
      <c r="O292" s="357">
        <f t="shared" si="32"/>
        <v>0</v>
      </c>
      <c r="P292" s="357">
        <f t="shared" si="32"/>
        <v>0</v>
      </c>
      <c r="Q292" s="357">
        <f t="shared" si="32"/>
        <v>0</v>
      </c>
      <c r="R292" s="357">
        <f t="shared" si="32"/>
        <v>0</v>
      </c>
      <c r="S292" s="357">
        <f t="shared" si="32"/>
        <v>0</v>
      </c>
      <c r="T292" s="357">
        <f t="shared" si="32"/>
        <v>0</v>
      </c>
      <c r="U292" s="357">
        <f t="shared" si="32"/>
        <v>0</v>
      </c>
      <c r="V292" s="357">
        <f t="shared" si="32"/>
        <v>0</v>
      </c>
    </row>
    <row r="293" spans="1:22" ht="9" hidden="1" customHeight="1">
      <c r="A293" s="358">
        <v>215</v>
      </c>
      <c r="B293" s="371" t="s">
        <v>357</v>
      </c>
      <c r="C293" s="355" t="s">
        <v>998</v>
      </c>
      <c r="D293" s="355"/>
      <c r="E293" s="357">
        <f>F293+H293+L293+N293+P293+R293+S293+T293+U293+V293</f>
        <v>2063672.3200000001</v>
      </c>
      <c r="F293" s="357">
        <v>0</v>
      </c>
      <c r="G293" s="359">
        <v>0</v>
      </c>
      <c r="H293" s="357">
        <v>0</v>
      </c>
      <c r="I293" s="357">
        <v>614.4</v>
      </c>
      <c r="J293" s="357" t="s">
        <v>109</v>
      </c>
      <c r="K293" s="357">
        <v>3438.05</v>
      </c>
      <c r="L293" s="357">
        <v>2063672.3200000001</v>
      </c>
      <c r="M293" s="357">
        <v>0</v>
      </c>
      <c r="N293" s="357">
        <v>0</v>
      </c>
      <c r="O293" s="357">
        <v>0</v>
      </c>
      <c r="P293" s="357">
        <v>0</v>
      </c>
      <c r="Q293" s="357">
        <v>0</v>
      </c>
      <c r="R293" s="357">
        <v>0</v>
      </c>
      <c r="S293" s="357">
        <v>0</v>
      </c>
      <c r="T293" s="357">
        <v>0</v>
      </c>
      <c r="U293" s="357">
        <v>0</v>
      </c>
      <c r="V293" s="357">
        <v>0</v>
      </c>
    </row>
    <row r="294" spans="1:22" s="335" customFormat="1" ht="9" hidden="1" customHeight="1">
      <c r="A294" s="358">
        <v>216</v>
      </c>
      <c r="B294" s="402" t="s">
        <v>359</v>
      </c>
      <c r="C294" s="355" t="s">
        <v>997</v>
      </c>
      <c r="D294" s="355"/>
      <c r="E294" s="357">
        <f>F294+H294+L294+N294+P294+R294+S294+T294+U294+V294</f>
        <v>4594604.0999999996</v>
      </c>
      <c r="F294" s="357">
        <v>0</v>
      </c>
      <c r="G294" s="359">
        <v>0</v>
      </c>
      <c r="H294" s="357">
        <v>0</v>
      </c>
      <c r="I294" s="357">
        <v>1416.01</v>
      </c>
      <c r="J294" s="387" t="s">
        <v>108</v>
      </c>
      <c r="K294" s="357">
        <v>2022.07</v>
      </c>
      <c r="L294" s="357">
        <v>4594604.0999999996</v>
      </c>
      <c r="M294" s="357">
        <v>0</v>
      </c>
      <c r="N294" s="357">
        <v>0</v>
      </c>
      <c r="O294" s="357">
        <v>0</v>
      </c>
      <c r="P294" s="357">
        <v>0</v>
      </c>
      <c r="Q294" s="357">
        <v>0</v>
      </c>
      <c r="R294" s="357">
        <v>0</v>
      </c>
      <c r="S294" s="357">
        <v>0</v>
      </c>
      <c r="T294" s="357">
        <v>0</v>
      </c>
      <c r="U294" s="357">
        <v>0</v>
      </c>
      <c r="V294" s="357">
        <v>0</v>
      </c>
    </row>
    <row r="295" spans="1:22" ht="9" hidden="1" customHeight="1">
      <c r="A295" s="550" t="s">
        <v>447</v>
      </c>
      <c r="B295" s="550"/>
      <c r="C295" s="550"/>
      <c r="D295" s="550"/>
      <c r="E295" s="550"/>
      <c r="F295" s="550"/>
      <c r="G295" s="550"/>
      <c r="H295" s="550"/>
      <c r="I295" s="550"/>
      <c r="J295" s="550"/>
      <c r="K295" s="550"/>
      <c r="L295" s="550"/>
      <c r="M295" s="550"/>
      <c r="N295" s="550"/>
      <c r="O295" s="550"/>
      <c r="P295" s="550"/>
      <c r="Q295" s="550"/>
      <c r="R295" s="550"/>
      <c r="S295" s="550"/>
      <c r="T295" s="550"/>
      <c r="U295" s="550"/>
      <c r="V295" s="550"/>
    </row>
    <row r="296" spans="1:22" ht="20.25" hidden="1" customHeight="1">
      <c r="A296" s="559" t="s">
        <v>448</v>
      </c>
      <c r="B296" s="559"/>
      <c r="C296" s="355"/>
      <c r="D296" s="355"/>
      <c r="E296" s="357">
        <f>E297</f>
        <v>1056204.45</v>
      </c>
      <c r="F296" s="357">
        <v>0</v>
      </c>
      <c r="G296" s="359">
        <v>0</v>
      </c>
      <c r="H296" s="357">
        <v>0</v>
      </c>
      <c r="I296" s="357">
        <f>I297</f>
        <v>330</v>
      </c>
      <c r="J296" s="357"/>
      <c r="K296" s="357"/>
      <c r="L296" s="357">
        <f>L297</f>
        <v>1056204.45</v>
      </c>
      <c r="M296" s="357">
        <v>0</v>
      </c>
      <c r="N296" s="357">
        <v>0</v>
      </c>
      <c r="O296" s="357">
        <v>0</v>
      </c>
      <c r="P296" s="357">
        <v>0</v>
      </c>
      <c r="Q296" s="357">
        <v>0</v>
      </c>
      <c r="R296" s="357">
        <v>0</v>
      </c>
      <c r="S296" s="357">
        <v>0</v>
      </c>
      <c r="T296" s="357">
        <v>0</v>
      </c>
      <c r="U296" s="357">
        <v>0</v>
      </c>
      <c r="V296" s="357">
        <v>0</v>
      </c>
    </row>
    <row r="297" spans="1:22" s="335" customFormat="1" ht="9" hidden="1" customHeight="1">
      <c r="A297" s="358">
        <v>217</v>
      </c>
      <c r="B297" s="371" t="s">
        <v>360</v>
      </c>
      <c r="C297" s="355" t="s">
        <v>998</v>
      </c>
      <c r="D297" s="355"/>
      <c r="E297" s="357">
        <f>F297+H297+L297+N297+P297+R297+S297+T297+U297+V297</f>
        <v>1056204.45</v>
      </c>
      <c r="F297" s="357">
        <v>0</v>
      </c>
      <c r="G297" s="359">
        <v>0</v>
      </c>
      <c r="H297" s="357">
        <v>0</v>
      </c>
      <c r="I297" s="357">
        <v>330</v>
      </c>
      <c r="J297" s="357" t="s">
        <v>109</v>
      </c>
      <c r="K297" s="357">
        <v>3438.05</v>
      </c>
      <c r="L297" s="357">
        <v>1056204.45</v>
      </c>
      <c r="M297" s="357">
        <v>0</v>
      </c>
      <c r="N297" s="357">
        <v>0</v>
      </c>
      <c r="O297" s="357">
        <v>0</v>
      </c>
      <c r="P297" s="357">
        <v>0</v>
      </c>
      <c r="Q297" s="357">
        <v>0</v>
      </c>
      <c r="R297" s="357">
        <v>0</v>
      </c>
      <c r="S297" s="357">
        <v>0</v>
      </c>
      <c r="T297" s="357">
        <v>0</v>
      </c>
      <c r="U297" s="357">
        <v>0</v>
      </c>
      <c r="V297" s="357">
        <v>0</v>
      </c>
    </row>
    <row r="298" spans="1:22" ht="9" hidden="1" customHeight="1">
      <c r="A298" s="576" t="s">
        <v>398</v>
      </c>
      <c r="B298" s="576"/>
      <c r="C298" s="576"/>
      <c r="D298" s="576"/>
      <c r="E298" s="576"/>
      <c r="F298" s="576"/>
      <c r="G298" s="576"/>
      <c r="H298" s="576"/>
      <c r="I298" s="576"/>
      <c r="J298" s="576"/>
      <c r="K298" s="576"/>
      <c r="L298" s="576"/>
      <c r="M298" s="576"/>
      <c r="N298" s="576"/>
      <c r="O298" s="576"/>
      <c r="P298" s="576"/>
      <c r="Q298" s="576"/>
      <c r="R298" s="576"/>
      <c r="S298" s="576"/>
      <c r="T298" s="576"/>
      <c r="U298" s="576"/>
      <c r="V298" s="576"/>
    </row>
    <row r="299" spans="1:22" ht="21" hidden="1" customHeight="1">
      <c r="A299" s="558" t="s">
        <v>361</v>
      </c>
      <c r="B299" s="558"/>
      <c r="C299" s="410"/>
      <c r="D299" s="410"/>
      <c r="E299" s="357">
        <f>E300</f>
        <v>1645051.71</v>
      </c>
      <c r="F299" s="357">
        <v>0</v>
      </c>
      <c r="G299" s="360">
        <v>0</v>
      </c>
      <c r="H299" s="357">
        <v>0</v>
      </c>
      <c r="I299" s="357">
        <f>I300</f>
        <v>495.36</v>
      </c>
      <c r="J299" s="357"/>
      <c r="K299" s="357"/>
      <c r="L299" s="357">
        <f>L300</f>
        <v>1645051.71</v>
      </c>
      <c r="M299" s="357">
        <v>0</v>
      </c>
      <c r="N299" s="357">
        <v>0</v>
      </c>
      <c r="O299" s="357">
        <v>0</v>
      </c>
      <c r="P299" s="357">
        <v>0</v>
      </c>
      <c r="Q299" s="357">
        <v>0</v>
      </c>
      <c r="R299" s="357">
        <v>0</v>
      </c>
      <c r="S299" s="357">
        <v>0</v>
      </c>
      <c r="T299" s="357">
        <v>0</v>
      </c>
      <c r="U299" s="357">
        <v>0</v>
      </c>
      <c r="V299" s="357">
        <v>0</v>
      </c>
    </row>
    <row r="300" spans="1:22" ht="9" hidden="1" customHeight="1">
      <c r="A300" s="411">
        <v>218</v>
      </c>
      <c r="B300" s="371" t="s">
        <v>1</v>
      </c>
      <c r="C300" s="412" t="s">
        <v>998</v>
      </c>
      <c r="D300" s="413"/>
      <c r="E300" s="357">
        <f>F300+H300+L300+N300+P300+R300+S300+T300+U300+V300</f>
        <v>1645051.71</v>
      </c>
      <c r="F300" s="357">
        <v>0</v>
      </c>
      <c r="G300" s="360">
        <v>0</v>
      </c>
      <c r="H300" s="357">
        <v>0</v>
      </c>
      <c r="I300" s="357">
        <v>495.36</v>
      </c>
      <c r="J300" s="357" t="s">
        <v>109</v>
      </c>
      <c r="K300" s="357">
        <v>3438.05</v>
      </c>
      <c r="L300" s="357">
        <v>1645051.71</v>
      </c>
      <c r="M300" s="357">
        <v>0</v>
      </c>
      <c r="N300" s="357">
        <v>0</v>
      </c>
      <c r="O300" s="357">
        <v>0</v>
      </c>
      <c r="P300" s="357">
        <v>0</v>
      </c>
      <c r="Q300" s="357">
        <v>0</v>
      </c>
      <c r="R300" s="357">
        <v>0</v>
      </c>
      <c r="S300" s="357">
        <v>0</v>
      </c>
      <c r="T300" s="357">
        <v>0</v>
      </c>
      <c r="U300" s="357">
        <v>0</v>
      </c>
      <c r="V300" s="357">
        <v>0</v>
      </c>
    </row>
    <row r="301" spans="1:22" s="18" customFormat="1" ht="9" hidden="1" customHeight="1">
      <c r="A301" s="576" t="s">
        <v>2</v>
      </c>
      <c r="B301" s="576"/>
      <c r="C301" s="576"/>
      <c r="D301" s="576"/>
      <c r="E301" s="576"/>
      <c r="F301" s="576"/>
      <c r="G301" s="576"/>
      <c r="H301" s="576"/>
      <c r="I301" s="576"/>
      <c r="J301" s="576"/>
      <c r="K301" s="576"/>
      <c r="L301" s="576"/>
      <c r="M301" s="576"/>
      <c r="N301" s="576"/>
      <c r="O301" s="576"/>
      <c r="P301" s="576"/>
      <c r="Q301" s="576"/>
      <c r="R301" s="576"/>
      <c r="S301" s="576"/>
      <c r="T301" s="576"/>
      <c r="U301" s="576"/>
      <c r="V301" s="576"/>
    </row>
    <row r="302" spans="1:22" s="18" customFormat="1" ht="20.25" hidden="1" customHeight="1">
      <c r="A302" s="558" t="s">
        <v>5</v>
      </c>
      <c r="B302" s="558"/>
      <c r="C302" s="410"/>
      <c r="D302" s="410"/>
      <c r="E302" s="414">
        <f>SUM(E303:E304)</f>
        <v>2823117.67</v>
      </c>
      <c r="F302" s="414">
        <f t="shared" ref="F302:V302" si="33">SUM(F303:F304)</f>
        <v>1014248.92</v>
      </c>
      <c r="G302" s="415">
        <f t="shared" si="33"/>
        <v>0</v>
      </c>
      <c r="H302" s="414">
        <f t="shared" si="33"/>
        <v>0</v>
      </c>
      <c r="I302" s="414">
        <f t="shared" si="33"/>
        <v>514.4</v>
      </c>
      <c r="J302" s="414">
        <f t="shared" si="33"/>
        <v>0</v>
      </c>
      <c r="K302" s="414">
        <f t="shared" si="33"/>
        <v>4294.95</v>
      </c>
      <c r="L302" s="414">
        <f t="shared" si="33"/>
        <v>1785735.76</v>
      </c>
      <c r="M302" s="414">
        <f t="shared" si="33"/>
        <v>0</v>
      </c>
      <c r="N302" s="414">
        <f t="shared" si="33"/>
        <v>0</v>
      </c>
      <c r="O302" s="414">
        <f t="shared" si="33"/>
        <v>0</v>
      </c>
      <c r="P302" s="414">
        <f t="shared" si="33"/>
        <v>0</v>
      </c>
      <c r="Q302" s="414">
        <f t="shared" si="33"/>
        <v>0</v>
      </c>
      <c r="R302" s="414">
        <f t="shared" si="33"/>
        <v>0</v>
      </c>
      <c r="S302" s="414">
        <f t="shared" si="33"/>
        <v>0</v>
      </c>
      <c r="T302" s="414">
        <f t="shared" si="33"/>
        <v>0</v>
      </c>
      <c r="U302" s="414">
        <f t="shared" si="33"/>
        <v>23132.99</v>
      </c>
      <c r="V302" s="414">
        <f t="shared" si="33"/>
        <v>0</v>
      </c>
    </row>
    <row r="303" spans="1:22" s="18" customFormat="1" ht="9" hidden="1" customHeight="1">
      <c r="A303" s="411">
        <v>219</v>
      </c>
      <c r="B303" s="416" t="s">
        <v>3</v>
      </c>
      <c r="C303" s="410" t="s">
        <v>1000</v>
      </c>
      <c r="D303" s="410"/>
      <c r="E303" s="357">
        <f>F303+H303+L303+N303+P303+R303+S303+T303+U303+V303</f>
        <v>1037381.91</v>
      </c>
      <c r="F303" s="414">
        <v>1014248.92</v>
      </c>
      <c r="G303" s="417">
        <v>0</v>
      </c>
      <c r="H303" s="414">
        <v>0</v>
      </c>
      <c r="I303" s="414">
        <v>0</v>
      </c>
      <c r="J303" s="357" t="s">
        <v>399</v>
      </c>
      <c r="K303" s="357">
        <f>(200+170+260+190)*1.045</f>
        <v>856.9</v>
      </c>
      <c r="L303" s="414">
        <v>0</v>
      </c>
      <c r="M303" s="414">
        <v>0</v>
      </c>
      <c r="N303" s="414">
        <v>0</v>
      </c>
      <c r="O303" s="414">
        <v>0</v>
      </c>
      <c r="P303" s="414">
        <v>0</v>
      </c>
      <c r="Q303" s="414">
        <v>0</v>
      </c>
      <c r="R303" s="414">
        <v>0</v>
      </c>
      <c r="S303" s="414">
        <v>0</v>
      </c>
      <c r="T303" s="414">
        <v>0</v>
      </c>
      <c r="U303" s="414">
        <v>23132.99</v>
      </c>
      <c r="V303" s="414">
        <v>0</v>
      </c>
    </row>
    <row r="304" spans="1:22" s="18" customFormat="1" ht="9" hidden="1" customHeight="1">
      <c r="A304" s="411">
        <v>220</v>
      </c>
      <c r="B304" s="416" t="s">
        <v>4</v>
      </c>
      <c r="C304" s="410" t="s">
        <v>998</v>
      </c>
      <c r="D304" s="410"/>
      <c r="E304" s="357">
        <f>F304+H304+L304+N304+P304+R304+S304+T304+U304+V304</f>
        <v>1785735.76</v>
      </c>
      <c r="F304" s="414">
        <v>0</v>
      </c>
      <c r="G304" s="417">
        <v>0</v>
      </c>
      <c r="H304" s="414">
        <v>0</v>
      </c>
      <c r="I304" s="414">
        <v>514.4</v>
      </c>
      <c r="J304" s="357" t="s">
        <v>109</v>
      </c>
      <c r="K304" s="357">
        <v>3438.05</v>
      </c>
      <c r="L304" s="357">
        <v>1785735.76</v>
      </c>
      <c r="M304" s="414">
        <v>0</v>
      </c>
      <c r="N304" s="414">
        <v>0</v>
      </c>
      <c r="O304" s="414">
        <v>0</v>
      </c>
      <c r="P304" s="414">
        <v>0</v>
      </c>
      <c r="Q304" s="414">
        <v>0</v>
      </c>
      <c r="R304" s="414">
        <v>0</v>
      </c>
      <c r="S304" s="414">
        <v>0</v>
      </c>
      <c r="T304" s="414">
        <v>0</v>
      </c>
      <c r="U304" s="414">
        <v>0</v>
      </c>
      <c r="V304" s="414">
        <v>0</v>
      </c>
    </row>
    <row r="305" spans="1:22" s="18" customFormat="1" ht="9" hidden="1" customHeight="1">
      <c r="A305" s="563" t="s">
        <v>8</v>
      </c>
      <c r="B305" s="563"/>
      <c r="C305" s="563"/>
      <c r="D305" s="563"/>
      <c r="E305" s="563"/>
      <c r="F305" s="563"/>
      <c r="G305" s="563"/>
      <c r="H305" s="563"/>
      <c r="I305" s="563"/>
      <c r="J305" s="563"/>
      <c r="K305" s="563"/>
      <c r="L305" s="563"/>
      <c r="M305" s="563"/>
      <c r="N305" s="563"/>
      <c r="O305" s="563"/>
      <c r="P305" s="563"/>
      <c r="Q305" s="563"/>
      <c r="R305" s="563"/>
      <c r="S305" s="563"/>
      <c r="T305" s="563"/>
      <c r="U305" s="563"/>
      <c r="V305" s="563"/>
    </row>
    <row r="306" spans="1:22" s="18" customFormat="1" ht="20.25" hidden="1" customHeight="1">
      <c r="A306" s="562" t="s">
        <v>9</v>
      </c>
      <c r="B306" s="562"/>
      <c r="C306" s="391"/>
      <c r="D306" s="391"/>
      <c r="E306" s="385">
        <f>E307+E308</f>
        <v>2263711.2000000002</v>
      </c>
      <c r="F306" s="385">
        <v>0</v>
      </c>
      <c r="G306" s="386">
        <v>0</v>
      </c>
      <c r="H306" s="385">
        <v>0</v>
      </c>
      <c r="I306" s="385">
        <f>SUM(I307:I308)</f>
        <v>728.04</v>
      </c>
      <c r="J306" s="385"/>
      <c r="K306" s="385"/>
      <c r="L306" s="385">
        <f>SUM(L307:L308)</f>
        <v>2263711.2000000002</v>
      </c>
      <c r="M306" s="385">
        <v>0</v>
      </c>
      <c r="N306" s="385">
        <v>0</v>
      </c>
      <c r="O306" s="385">
        <v>0</v>
      </c>
      <c r="P306" s="385">
        <v>0</v>
      </c>
      <c r="Q306" s="385">
        <v>0</v>
      </c>
      <c r="R306" s="385">
        <v>0</v>
      </c>
      <c r="S306" s="385">
        <v>0</v>
      </c>
      <c r="T306" s="385">
        <v>0</v>
      </c>
      <c r="U306" s="385">
        <v>0</v>
      </c>
      <c r="V306" s="385">
        <v>0</v>
      </c>
    </row>
    <row r="307" spans="1:22" s="336" customFormat="1" ht="9" hidden="1" customHeight="1">
      <c r="A307" s="387">
        <v>221</v>
      </c>
      <c r="B307" s="388" t="s">
        <v>12</v>
      </c>
      <c r="C307" s="391" t="s">
        <v>997</v>
      </c>
      <c r="D307" s="391"/>
      <c r="E307" s="357">
        <f>F307+H307+L307+N307+P307+R307+S307+T307+U307+V307</f>
        <v>1356102.48</v>
      </c>
      <c r="F307" s="385">
        <v>0</v>
      </c>
      <c r="G307" s="386">
        <v>0</v>
      </c>
      <c r="H307" s="385">
        <v>0</v>
      </c>
      <c r="I307" s="385">
        <v>432</v>
      </c>
      <c r="J307" s="387" t="s">
        <v>108</v>
      </c>
      <c r="K307" s="357">
        <v>2022.07</v>
      </c>
      <c r="L307" s="357">
        <v>1356102.48</v>
      </c>
      <c r="M307" s="385">
        <v>0</v>
      </c>
      <c r="N307" s="385">
        <v>0</v>
      </c>
      <c r="O307" s="385">
        <v>0</v>
      </c>
      <c r="P307" s="385">
        <v>0</v>
      </c>
      <c r="Q307" s="385">
        <v>0</v>
      </c>
      <c r="R307" s="385">
        <v>0</v>
      </c>
      <c r="S307" s="385">
        <v>0</v>
      </c>
      <c r="T307" s="385">
        <v>0</v>
      </c>
      <c r="U307" s="385">
        <v>0</v>
      </c>
      <c r="V307" s="385">
        <v>0</v>
      </c>
    </row>
    <row r="308" spans="1:22" s="336" customFormat="1" ht="9" hidden="1" customHeight="1">
      <c r="A308" s="387">
        <v>222</v>
      </c>
      <c r="B308" s="388" t="s">
        <v>13</v>
      </c>
      <c r="C308" s="391" t="s">
        <v>998</v>
      </c>
      <c r="D308" s="391"/>
      <c r="E308" s="357">
        <f>F308+H308+L308+N308+P308+R308+S308+T308+U308+V308</f>
        <v>907608.72</v>
      </c>
      <c r="F308" s="385">
        <v>0</v>
      </c>
      <c r="G308" s="386">
        <v>0</v>
      </c>
      <c r="H308" s="385">
        <v>0</v>
      </c>
      <c r="I308" s="385">
        <v>296.04000000000002</v>
      </c>
      <c r="J308" s="357" t="s">
        <v>109</v>
      </c>
      <c r="K308" s="357">
        <v>3438.05</v>
      </c>
      <c r="L308" s="357">
        <v>907608.72</v>
      </c>
      <c r="M308" s="385">
        <v>0</v>
      </c>
      <c r="N308" s="385">
        <v>0</v>
      </c>
      <c r="O308" s="385">
        <v>0</v>
      </c>
      <c r="P308" s="385">
        <v>0</v>
      </c>
      <c r="Q308" s="385">
        <v>0</v>
      </c>
      <c r="R308" s="385">
        <v>0</v>
      </c>
      <c r="S308" s="385">
        <v>0</v>
      </c>
      <c r="T308" s="385">
        <v>0</v>
      </c>
      <c r="U308" s="385">
        <v>0</v>
      </c>
      <c r="V308" s="385">
        <v>0</v>
      </c>
    </row>
    <row r="309" spans="1:22" s="18" customFormat="1" ht="9" hidden="1" customHeight="1">
      <c r="A309" s="563" t="s">
        <v>10</v>
      </c>
      <c r="B309" s="563"/>
      <c r="C309" s="563"/>
      <c r="D309" s="563"/>
      <c r="E309" s="563"/>
      <c r="F309" s="563"/>
      <c r="G309" s="563"/>
      <c r="H309" s="563"/>
      <c r="I309" s="563"/>
      <c r="J309" s="563"/>
      <c r="K309" s="563"/>
      <c r="L309" s="563"/>
      <c r="M309" s="563"/>
      <c r="N309" s="563"/>
      <c r="O309" s="563"/>
      <c r="P309" s="563"/>
      <c r="Q309" s="563"/>
      <c r="R309" s="563"/>
      <c r="S309" s="563"/>
      <c r="T309" s="563"/>
      <c r="U309" s="563"/>
      <c r="V309" s="563"/>
    </row>
    <row r="310" spans="1:22" s="18" customFormat="1" ht="21.75" hidden="1" customHeight="1">
      <c r="A310" s="562" t="s">
        <v>11</v>
      </c>
      <c r="B310" s="562"/>
      <c r="C310" s="391"/>
      <c r="D310" s="391"/>
      <c r="E310" s="385">
        <f>SUM(E311:E314)</f>
        <v>4428149.97</v>
      </c>
      <c r="F310" s="385">
        <v>0</v>
      </c>
      <c r="G310" s="386">
        <v>0</v>
      </c>
      <c r="H310" s="385">
        <v>0</v>
      </c>
      <c r="I310" s="385">
        <f>SUM(I311:I314)</f>
        <v>1709.5</v>
      </c>
      <c r="J310" s="385"/>
      <c r="K310" s="385"/>
      <c r="L310" s="385">
        <f>SUM(L311:L314)</f>
        <v>4428149.97</v>
      </c>
      <c r="M310" s="385">
        <v>0</v>
      </c>
      <c r="N310" s="385">
        <v>0</v>
      </c>
      <c r="O310" s="385">
        <v>0</v>
      </c>
      <c r="P310" s="385">
        <v>0</v>
      </c>
      <c r="Q310" s="385">
        <v>0</v>
      </c>
      <c r="R310" s="385">
        <v>0</v>
      </c>
      <c r="S310" s="385">
        <v>0</v>
      </c>
      <c r="T310" s="385">
        <v>0</v>
      </c>
      <c r="U310" s="385">
        <v>0</v>
      </c>
      <c r="V310" s="385">
        <v>0</v>
      </c>
    </row>
    <row r="311" spans="1:22" s="336" customFormat="1" ht="9" hidden="1" customHeight="1">
      <c r="A311" s="387">
        <v>223</v>
      </c>
      <c r="B311" s="388" t="s">
        <v>15</v>
      </c>
      <c r="C311" s="391" t="s">
        <v>998</v>
      </c>
      <c r="D311" s="391"/>
      <c r="E311" s="357">
        <f>F311+H311+L311+N311+P311+R311+S311+T311+U311+V311</f>
        <v>912625.94</v>
      </c>
      <c r="F311" s="385">
        <v>0</v>
      </c>
      <c r="G311" s="386">
        <v>0</v>
      </c>
      <c r="H311" s="385">
        <v>0</v>
      </c>
      <c r="I311" s="385">
        <v>362.08</v>
      </c>
      <c r="J311" s="357" t="s">
        <v>109</v>
      </c>
      <c r="K311" s="357">
        <v>3438.05</v>
      </c>
      <c r="L311" s="357">
        <v>912625.94</v>
      </c>
      <c r="M311" s="385">
        <v>0</v>
      </c>
      <c r="N311" s="385">
        <v>0</v>
      </c>
      <c r="O311" s="385">
        <v>0</v>
      </c>
      <c r="P311" s="385">
        <v>0</v>
      </c>
      <c r="Q311" s="385">
        <v>0</v>
      </c>
      <c r="R311" s="385">
        <v>0</v>
      </c>
      <c r="S311" s="385">
        <v>0</v>
      </c>
      <c r="T311" s="385">
        <v>0</v>
      </c>
      <c r="U311" s="385">
        <v>0</v>
      </c>
      <c r="V311" s="385">
        <v>0</v>
      </c>
    </row>
    <row r="312" spans="1:22" s="336" customFormat="1" ht="9" hidden="1" customHeight="1">
      <c r="A312" s="387">
        <v>224</v>
      </c>
      <c r="B312" s="388" t="s">
        <v>14</v>
      </c>
      <c r="C312" s="391" t="s">
        <v>998</v>
      </c>
      <c r="D312" s="391"/>
      <c r="E312" s="357">
        <f>F312+H312+L312+N312+P312+R312+S312+T312+U312+V312</f>
        <v>752267.04</v>
      </c>
      <c r="F312" s="385">
        <v>0</v>
      </c>
      <c r="G312" s="386">
        <v>0</v>
      </c>
      <c r="H312" s="385">
        <v>0</v>
      </c>
      <c r="I312" s="385">
        <v>278.39</v>
      </c>
      <c r="J312" s="357" t="s">
        <v>109</v>
      </c>
      <c r="K312" s="357">
        <v>3438.05</v>
      </c>
      <c r="L312" s="357">
        <v>752267.04</v>
      </c>
      <c r="M312" s="385">
        <v>0</v>
      </c>
      <c r="N312" s="385">
        <v>0</v>
      </c>
      <c r="O312" s="385">
        <v>0</v>
      </c>
      <c r="P312" s="385">
        <v>0</v>
      </c>
      <c r="Q312" s="385">
        <v>0</v>
      </c>
      <c r="R312" s="385">
        <v>0</v>
      </c>
      <c r="S312" s="385">
        <v>0</v>
      </c>
      <c r="T312" s="385">
        <v>0</v>
      </c>
      <c r="U312" s="385">
        <v>0</v>
      </c>
      <c r="V312" s="385">
        <v>0</v>
      </c>
    </row>
    <row r="313" spans="1:22" s="336" customFormat="1" ht="9" hidden="1" customHeight="1">
      <c r="A313" s="387">
        <v>225</v>
      </c>
      <c r="B313" s="388" t="s">
        <v>16</v>
      </c>
      <c r="C313" s="391" t="s">
        <v>998</v>
      </c>
      <c r="D313" s="391"/>
      <c r="E313" s="357">
        <f>F313+H313+L313+N313+P313+R313+S313+T313+U313+V313</f>
        <v>1319796.78</v>
      </c>
      <c r="F313" s="385">
        <v>0</v>
      </c>
      <c r="G313" s="386">
        <v>0</v>
      </c>
      <c r="H313" s="385">
        <v>0</v>
      </c>
      <c r="I313" s="385">
        <v>551.91999999999996</v>
      </c>
      <c r="J313" s="357" t="s">
        <v>109</v>
      </c>
      <c r="K313" s="357">
        <v>3438.05</v>
      </c>
      <c r="L313" s="357">
        <v>1319796.78</v>
      </c>
      <c r="M313" s="385">
        <v>0</v>
      </c>
      <c r="N313" s="385">
        <v>0</v>
      </c>
      <c r="O313" s="385">
        <v>0</v>
      </c>
      <c r="P313" s="385">
        <v>0</v>
      </c>
      <c r="Q313" s="385">
        <v>0</v>
      </c>
      <c r="R313" s="385">
        <v>0</v>
      </c>
      <c r="S313" s="385">
        <v>0</v>
      </c>
      <c r="T313" s="385">
        <v>0</v>
      </c>
      <c r="U313" s="385">
        <v>0</v>
      </c>
      <c r="V313" s="385">
        <v>0</v>
      </c>
    </row>
    <row r="314" spans="1:22" s="336" customFormat="1" ht="9" hidden="1" customHeight="1">
      <c r="A314" s="387">
        <v>226</v>
      </c>
      <c r="B314" s="388" t="s">
        <v>17</v>
      </c>
      <c r="C314" s="391" t="s">
        <v>998</v>
      </c>
      <c r="D314" s="391"/>
      <c r="E314" s="357">
        <f>F314+H314+L314+N314+P314+R314+S314+T314+U314+V314</f>
        <v>1443460.21</v>
      </c>
      <c r="F314" s="385">
        <v>0</v>
      </c>
      <c r="G314" s="386">
        <v>0</v>
      </c>
      <c r="H314" s="385">
        <v>0</v>
      </c>
      <c r="I314" s="385">
        <v>517.11</v>
      </c>
      <c r="J314" s="357" t="s">
        <v>109</v>
      </c>
      <c r="K314" s="357">
        <v>3438.05</v>
      </c>
      <c r="L314" s="357">
        <v>1443460.21</v>
      </c>
      <c r="M314" s="385">
        <v>0</v>
      </c>
      <c r="N314" s="385">
        <v>0</v>
      </c>
      <c r="O314" s="385">
        <v>0</v>
      </c>
      <c r="P314" s="385">
        <v>0</v>
      </c>
      <c r="Q314" s="385">
        <v>0</v>
      </c>
      <c r="R314" s="385">
        <v>0</v>
      </c>
      <c r="S314" s="385">
        <v>0</v>
      </c>
      <c r="T314" s="385">
        <v>0</v>
      </c>
      <c r="U314" s="385">
        <v>0</v>
      </c>
      <c r="V314" s="385">
        <v>0</v>
      </c>
    </row>
    <row r="315" spans="1:22" s="18" customFormat="1" ht="9" hidden="1" customHeight="1">
      <c r="A315" s="560" t="s">
        <v>451</v>
      </c>
      <c r="B315" s="560"/>
      <c r="C315" s="560"/>
      <c r="D315" s="560"/>
      <c r="E315" s="560"/>
      <c r="F315" s="560"/>
      <c r="G315" s="560"/>
      <c r="H315" s="560"/>
      <c r="I315" s="560"/>
      <c r="J315" s="560"/>
      <c r="K315" s="560"/>
      <c r="L315" s="560"/>
      <c r="M315" s="560"/>
      <c r="N315" s="560"/>
      <c r="O315" s="560"/>
      <c r="P315" s="560"/>
      <c r="Q315" s="560"/>
      <c r="R315" s="560"/>
      <c r="S315" s="560"/>
      <c r="T315" s="560"/>
      <c r="U315" s="560"/>
      <c r="V315" s="560"/>
    </row>
    <row r="316" spans="1:22" s="18" customFormat="1" ht="21" hidden="1" customHeight="1">
      <c r="A316" s="561" t="s">
        <v>20</v>
      </c>
      <c r="B316" s="561"/>
      <c r="C316" s="418"/>
      <c r="D316" s="418"/>
      <c r="E316" s="419">
        <f>SUM(E317:E318)</f>
        <v>5054598.5600000005</v>
      </c>
      <c r="F316" s="384">
        <v>0</v>
      </c>
      <c r="G316" s="379">
        <v>0</v>
      </c>
      <c r="H316" s="384">
        <v>0</v>
      </c>
      <c r="I316" s="419">
        <f>SUM(I317:I318)</f>
        <v>1376.4</v>
      </c>
      <c r="J316" s="420"/>
      <c r="K316" s="420"/>
      <c r="L316" s="419">
        <f>SUM(L317:L318)</f>
        <v>5054598.5600000005</v>
      </c>
      <c r="M316" s="384">
        <v>0</v>
      </c>
      <c r="N316" s="384">
        <v>0</v>
      </c>
      <c r="O316" s="384">
        <v>0</v>
      </c>
      <c r="P316" s="384">
        <v>0</v>
      </c>
      <c r="Q316" s="384">
        <v>0</v>
      </c>
      <c r="R316" s="384">
        <v>0</v>
      </c>
      <c r="S316" s="384">
        <v>0</v>
      </c>
      <c r="T316" s="384">
        <v>0</v>
      </c>
      <c r="U316" s="384">
        <v>0</v>
      </c>
      <c r="V316" s="421">
        <v>0</v>
      </c>
    </row>
    <row r="317" spans="1:22" s="18" customFormat="1" ht="11.25" hidden="1" customHeight="1">
      <c r="A317" s="422">
        <v>227</v>
      </c>
      <c r="B317" s="423" t="s">
        <v>22</v>
      </c>
      <c r="C317" s="382" t="s">
        <v>997</v>
      </c>
      <c r="D317" s="424"/>
      <c r="E317" s="357">
        <f>F317+H317+L317+N317+P317+R317+S317+T317+U317+V317</f>
        <v>2502922.84</v>
      </c>
      <c r="F317" s="425">
        <v>0</v>
      </c>
      <c r="G317" s="426">
        <v>0</v>
      </c>
      <c r="H317" s="425">
        <v>0</v>
      </c>
      <c r="I317" s="425">
        <v>641</v>
      </c>
      <c r="J317" s="387" t="s">
        <v>108</v>
      </c>
      <c r="K317" s="357">
        <v>2022.07</v>
      </c>
      <c r="L317" s="357">
        <v>2502922.84</v>
      </c>
      <c r="M317" s="425">
        <v>0</v>
      </c>
      <c r="N317" s="425">
        <v>0</v>
      </c>
      <c r="O317" s="425">
        <v>0</v>
      </c>
      <c r="P317" s="425">
        <v>0</v>
      </c>
      <c r="Q317" s="425">
        <v>0</v>
      </c>
      <c r="R317" s="425">
        <v>0</v>
      </c>
      <c r="S317" s="425">
        <v>0</v>
      </c>
      <c r="T317" s="425">
        <v>0</v>
      </c>
      <c r="U317" s="425">
        <v>0</v>
      </c>
      <c r="V317" s="427">
        <v>0</v>
      </c>
    </row>
    <row r="318" spans="1:22" s="18" customFormat="1" ht="11.25" hidden="1" customHeight="1">
      <c r="A318" s="422">
        <v>228</v>
      </c>
      <c r="B318" s="423" t="s">
        <v>23</v>
      </c>
      <c r="C318" s="382" t="s">
        <v>997</v>
      </c>
      <c r="D318" s="424"/>
      <c r="E318" s="357">
        <f>F318+H318+L318+N318+P318+R318+S318+T318+U318+V318</f>
        <v>2551675.7200000002</v>
      </c>
      <c r="F318" s="425">
        <v>0</v>
      </c>
      <c r="G318" s="426">
        <v>0</v>
      </c>
      <c r="H318" s="425">
        <v>0</v>
      </c>
      <c r="I318" s="425">
        <v>735.4</v>
      </c>
      <c r="J318" s="387" t="s">
        <v>108</v>
      </c>
      <c r="K318" s="357">
        <v>2022.07</v>
      </c>
      <c r="L318" s="357">
        <v>2551675.7200000002</v>
      </c>
      <c r="M318" s="425">
        <v>0</v>
      </c>
      <c r="N318" s="425">
        <v>0</v>
      </c>
      <c r="O318" s="425">
        <v>0</v>
      </c>
      <c r="P318" s="425">
        <v>0</v>
      </c>
      <c r="Q318" s="425">
        <v>0</v>
      </c>
      <c r="R318" s="425">
        <v>0</v>
      </c>
      <c r="S318" s="425">
        <v>0</v>
      </c>
      <c r="T318" s="425">
        <v>0</v>
      </c>
      <c r="U318" s="425">
        <v>0</v>
      </c>
      <c r="V318" s="427">
        <v>0</v>
      </c>
    </row>
    <row r="319" spans="1:22" s="18" customFormat="1" ht="10.5" hidden="1" customHeight="1">
      <c r="A319" s="560" t="s">
        <v>1056</v>
      </c>
      <c r="B319" s="560"/>
      <c r="C319" s="560"/>
      <c r="D319" s="560"/>
      <c r="E319" s="560"/>
      <c r="F319" s="560"/>
      <c r="G319" s="560"/>
      <c r="H319" s="560"/>
      <c r="I319" s="560"/>
      <c r="J319" s="560"/>
      <c r="K319" s="560"/>
      <c r="L319" s="560"/>
      <c r="M319" s="560"/>
      <c r="N319" s="560"/>
      <c r="O319" s="560"/>
      <c r="P319" s="560"/>
      <c r="Q319" s="560"/>
      <c r="R319" s="560"/>
      <c r="S319" s="560"/>
      <c r="T319" s="560"/>
      <c r="U319" s="560"/>
      <c r="V319" s="560"/>
    </row>
    <row r="320" spans="1:22" s="18" customFormat="1" ht="21" hidden="1" customHeight="1">
      <c r="A320" s="561" t="s">
        <v>1057</v>
      </c>
      <c r="B320" s="561"/>
      <c r="C320" s="418"/>
      <c r="D320" s="418"/>
      <c r="E320" s="419">
        <f>E321</f>
        <v>551093.68000000005</v>
      </c>
      <c r="F320" s="419">
        <f>F321</f>
        <v>551093.68000000005</v>
      </c>
      <c r="G320" s="379">
        <v>0</v>
      </c>
      <c r="H320" s="384">
        <v>0</v>
      </c>
      <c r="I320" s="384">
        <f>I321</f>
        <v>0</v>
      </c>
      <c r="J320" s="420"/>
      <c r="K320" s="420"/>
      <c r="L320" s="419">
        <f>L321</f>
        <v>0</v>
      </c>
      <c r="M320" s="384">
        <v>0</v>
      </c>
      <c r="N320" s="384">
        <v>0</v>
      </c>
      <c r="O320" s="384">
        <v>0</v>
      </c>
      <c r="P320" s="384">
        <v>0</v>
      </c>
      <c r="Q320" s="384">
        <v>0</v>
      </c>
      <c r="R320" s="384">
        <v>0</v>
      </c>
      <c r="S320" s="384">
        <v>0</v>
      </c>
      <c r="T320" s="384">
        <v>0</v>
      </c>
      <c r="U320" s="384">
        <v>0</v>
      </c>
      <c r="V320" s="421">
        <v>0</v>
      </c>
    </row>
    <row r="321" spans="1:22" s="18" customFormat="1" ht="11.25" hidden="1" customHeight="1">
      <c r="A321" s="422">
        <v>229</v>
      </c>
      <c r="B321" s="423" t="s">
        <v>24</v>
      </c>
      <c r="C321" s="382" t="s">
        <v>1000</v>
      </c>
      <c r="D321" s="428"/>
      <c r="E321" s="357">
        <f>F321+H321+L321+N321+P321+R321+S321+T321+U321+V321</f>
        <v>551093.68000000005</v>
      </c>
      <c r="F321" s="429">
        <v>551093.68000000005</v>
      </c>
      <c r="G321" s="426">
        <v>0</v>
      </c>
      <c r="H321" s="425">
        <v>0</v>
      </c>
      <c r="I321" s="425">
        <v>0</v>
      </c>
      <c r="J321" s="357" t="s">
        <v>410</v>
      </c>
      <c r="K321" s="357"/>
      <c r="L321" s="429">
        <f>K321*I321</f>
        <v>0</v>
      </c>
      <c r="M321" s="425">
        <v>0</v>
      </c>
      <c r="N321" s="425">
        <v>0</v>
      </c>
      <c r="O321" s="425">
        <v>0</v>
      </c>
      <c r="P321" s="425">
        <v>0</v>
      </c>
      <c r="Q321" s="425">
        <v>0</v>
      </c>
      <c r="R321" s="425">
        <v>0</v>
      </c>
      <c r="S321" s="425">
        <v>0</v>
      </c>
      <c r="T321" s="425">
        <v>0</v>
      </c>
      <c r="U321" s="425">
        <v>0</v>
      </c>
      <c r="V321" s="427">
        <v>0</v>
      </c>
    </row>
    <row r="322" spans="1:22" s="18" customFormat="1" ht="12" hidden="1" customHeight="1">
      <c r="A322" s="560" t="s">
        <v>449</v>
      </c>
      <c r="B322" s="560"/>
      <c r="C322" s="560"/>
      <c r="D322" s="560"/>
      <c r="E322" s="560"/>
      <c r="F322" s="560"/>
      <c r="G322" s="560"/>
      <c r="H322" s="560"/>
      <c r="I322" s="560"/>
      <c r="J322" s="560"/>
      <c r="K322" s="560"/>
      <c r="L322" s="560"/>
      <c r="M322" s="560"/>
      <c r="N322" s="560"/>
      <c r="O322" s="560"/>
      <c r="P322" s="560"/>
      <c r="Q322" s="560"/>
      <c r="R322" s="560"/>
      <c r="S322" s="560"/>
      <c r="T322" s="560"/>
      <c r="U322" s="560"/>
      <c r="V322" s="560"/>
    </row>
    <row r="323" spans="1:22" s="18" customFormat="1" ht="21" hidden="1" customHeight="1">
      <c r="A323" s="559" t="s">
        <v>450</v>
      </c>
      <c r="B323" s="559"/>
      <c r="C323" s="355"/>
      <c r="D323" s="355"/>
      <c r="E323" s="357">
        <f>E324</f>
        <v>3606258</v>
      </c>
      <c r="F323" s="357">
        <v>0</v>
      </c>
      <c r="G323" s="359">
        <v>0</v>
      </c>
      <c r="H323" s="357">
        <v>0</v>
      </c>
      <c r="I323" s="357">
        <v>0</v>
      </c>
      <c r="J323" s="357"/>
      <c r="K323" s="357"/>
      <c r="L323" s="357">
        <v>0</v>
      </c>
      <c r="M323" s="357">
        <v>0</v>
      </c>
      <c r="N323" s="357">
        <v>0</v>
      </c>
      <c r="O323" s="357">
        <v>0</v>
      </c>
      <c r="P323" s="357">
        <v>0</v>
      </c>
      <c r="Q323" s="357">
        <v>0</v>
      </c>
      <c r="R323" s="357">
        <v>0</v>
      </c>
      <c r="S323" s="357">
        <v>0</v>
      </c>
      <c r="T323" s="357">
        <f>T324</f>
        <v>3606258</v>
      </c>
      <c r="U323" s="357">
        <v>0</v>
      </c>
      <c r="V323" s="357">
        <v>0</v>
      </c>
    </row>
    <row r="324" spans="1:22" s="18" customFormat="1" ht="9" hidden="1" customHeight="1">
      <c r="A324" s="358">
        <v>230</v>
      </c>
      <c r="B324" s="371" t="s">
        <v>25</v>
      </c>
      <c r="C324" s="355" t="s">
        <v>1005</v>
      </c>
      <c r="D324" s="355"/>
      <c r="E324" s="357">
        <f>F324+H324+L324+N324+P324+R324+S324+T324+U324+V324</f>
        <v>3606258</v>
      </c>
      <c r="F324" s="357">
        <v>0</v>
      </c>
      <c r="G324" s="359">
        <v>0</v>
      </c>
      <c r="H324" s="357">
        <v>0</v>
      </c>
      <c r="I324" s="357">
        <v>0</v>
      </c>
      <c r="J324" s="357" t="s">
        <v>374</v>
      </c>
      <c r="K324" s="357">
        <v>3762</v>
      </c>
      <c r="L324" s="430">
        <v>0</v>
      </c>
      <c r="M324" s="357">
        <v>0</v>
      </c>
      <c r="N324" s="357">
        <v>0</v>
      </c>
      <c r="O324" s="357">
        <v>0</v>
      </c>
      <c r="P324" s="357">
        <v>0</v>
      </c>
      <c r="Q324" s="357">
        <v>0</v>
      </c>
      <c r="R324" s="357">
        <v>0</v>
      </c>
      <c r="S324" s="357">
        <v>0</v>
      </c>
      <c r="T324" s="357">
        <v>3606258</v>
      </c>
      <c r="U324" s="357">
        <v>0</v>
      </c>
      <c r="V324" s="357">
        <v>0</v>
      </c>
    </row>
    <row r="325" spans="1:22" s="18" customFormat="1" ht="11.25" hidden="1" customHeight="1">
      <c r="A325" s="560" t="s">
        <v>425</v>
      </c>
      <c r="B325" s="560"/>
      <c r="C325" s="560"/>
      <c r="D325" s="560"/>
      <c r="E325" s="560"/>
      <c r="F325" s="560"/>
      <c r="G325" s="560"/>
      <c r="H325" s="560"/>
      <c r="I325" s="560"/>
      <c r="J325" s="560"/>
      <c r="K325" s="560"/>
      <c r="L325" s="560"/>
      <c r="M325" s="560"/>
      <c r="N325" s="560"/>
      <c r="O325" s="560"/>
      <c r="P325" s="560"/>
      <c r="Q325" s="560"/>
      <c r="R325" s="560"/>
      <c r="S325" s="560"/>
      <c r="T325" s="560"/>
      <c r="U325" s="560"/>
      <c r="V325" s="560"/>
    </row>
    <row r="326" spans="1:22" s="18" customFormat="1" ht="24" hidden="1" customHeight="1">
      <c r="A326" s="559" t="s">
        <v>452</v>
      </c>
      <c r="B326" s="559"/>
      <c r="C326" s="355"/>
      <c r="D326" s="355"/>
      <c r="E326" s="357">
        <f>SUM(E327:E328)</f>
        <v>2901974.3200000003</v>
      </c>
      <c r="F326" s="357">
        <v>0</v>
      </c>
      <c r="G326" s="359">
        <v>0</v>
      </c>
      <c r="H326" s="357">
        <v>0</v>
      </c>
      <c r="I326" s="362">
        <f>SUM(I327:I328)</f>
        <v>741.33999999999992</v>
      </c>
      <c r="J326" s="362"/>
      <c r="K326" s="362"/>
      <c r="L326" s="357">
        <f>SUM(L327:L328)</f>
        <v>2901974.3200000003</v>
      </c>
      <c r="M326" s="362">
        <v>0</v>
      </c>
      <c r="N326" s="357">
        <v>0</v>
      </c>
      <c r="O326" s="362">
        <v>0</v>
      </c>
      <c r="P326" s="362">
        <v>0</v>
      </c>
      <c r="Q326" s="362">
        <v>0</v>
      </c>
      <c r="R326" s="362">
        <v>0</v>
      </c>
      <c r="S326" s="362">
        <v>0</v>
      </c>
      <c r="T326" s="362">
        <v>0</v>
      </c>
      <c r="U326" s="362">
        <v>0</v>
      </c>
      <c r="V326" s="362">
        <v>0</v>
      </c>
    </row>
    <row r="327" spans="1:22" s="18" customFormat="1" ht="9" hidden="1" customHeight="1">
      <c r="A327" s="358">
        <v>231</v>
      </c>
      <c r="B327" s="371" t="s">
        <v>26</v>
      </c>
      <c r="C327" s="355" t="s">
        <v>998</v>
      </c>
      <c r="D327" s="355"/>
      <c r="E327" s="357">
        <f>F327+H327+L327+N327+P327+R327+S327+T327+U327+V327</f>
        <v>1551397.34</v>
      </c>
      <c r="F327" s="357">
        <v>0</v>
      </c>
      <c r="G327" s="359">
        <v>0</v>
      </c>
      <c r="H327" s="357">
        <v>0</v>
      </c>
      <c r="I327" s="362">
        <v>365.4</v>
      </c>
      <c r="J327" s="357" t="s">
        <v>109</v>
      </c>
      <c r="K327" s="357">
        <v>3438.05</v>
      </c>
      <c r="L327" s="357">
        <v>1551397.34</v>
      </c>
      <c r="M327" s="362">
        <v>0</v>
      </c>
      <c r="N327" s="357">
        <v>0</v>
      </c>
      <c r="O327" s="362">
        <v>0</v>
      </c>
      <c r="P327" s="362">
        <v>0</v>
      </c>
      <c r="Q327" s="362">
        <v>0</v>
      </c>
      <c r="R327" s="362">
        <v>0</v>
      </c>
      <c r="S327" s="362">
        <v>0</v>
      </c>
      <c r="T327" s="362">
        <v>0</v>
      </c>
      <c r="U327" s="362">
        <v>0</v>
      </c>
      <c r="V327" s="362">
        <v>0</v>
      </c>
    </row>
    <row r="328" spans="1:22" s="18" customFormat="1" ht="9" hidden="1" customHeight="1">
      <c r="A328" s="358">
        <v>232</v>
      </c>
      <c r="B328" s="371" t="s">
        <v>27</v>
      </c>
      <c r="C328" s="355" t="s">
        <v>998</v>
      </c>
      <c r="D328" s="355"/>
      <c r="E328" s="357">
        <f>F328+H328+L328+N328+P328+R328+S328+T328+U328+V328</f>
        <v>1350576.98</v>
      </c>
      <c r="F328" s="357">
        <v>0</v>
      </c>
      <c r="G328" s="359">
        <v>0</v>
      </c>
      <c r="H328" s="357">
        <v>0</v>
      </c>
      <c r="I328" s="362">
        <v>375.94</v>
      </c>
      <c r="J328" s="357" t="s">
        <v>109</v>
      </c>
      <c r="K328" s="357">
        <v>3438.05</v>
      </c>
      <c r="L328" s="357">
        <v>1350576.98</v>
      </c>
      <c r="M328" s="362">
        <v>0</v>
      </c>
      <c r="N328" s="357">
        <v>0</v>
      </c>
      <c r="O328" s="362">
        <v>0</v>
      </c>
      <c r="P328" s="362">
        <v>0</v>
      </c>
      <c r="Q328" s="362">
        <v>0</v>
      </c>
      <c r="R328" s="362">
        <v>0</v>
      </c>
      <c r="S328" s="362">
        <v>0</v>
      </c>
      <c r="T328" s="362">
        <v>0</v>
      </c>
      <c r="U328" s="362">
        <v>0</v>
      </c>
      <c r="V328" s="362">
        <v>0</v>
      </c>
    </row>
    <row r="329" spans="1:22" s="18" customFormat="1" ht="11.25" hidden="1" customHeight="1">
      <c r="A329" s="560" t="s">
        <v>28</v>
      </c>
      <c r="B329" s="560"/>
      <c r="C329" s="560"/>
      <c r="D329" s="560"/>
      <c r="E329" s="560"/>
      <c r="F329" s="560"/>
      <c r="G329" s="560"/>
      <c r="H329" s="560"/>
      <c r="I329" s="560"/>
      <c r="J329" s="560"/>
      <c r="K329" s="560"/>
      <c r="L329" s="560"/>
      <c r="M329" s="560"/>
      <c r="N329" s="560"/>
      <c r="O329" s="560"/>
      <c r="P329" s="560"/>
      <c r="Q329" s="560"/>
      <c r="R329" s="560"/>
      <c r="S329" s="560"/>
      <c r="T329" s="560"/>
      <c r="U329" s="560"/>
      <c r="V329" s="560"/>
    </row>
    <row r="330" spans="1:22" s="18" customFormat="1" ht="21" hidden="1" customHeight="1">
      <c r="A330" s="559" t="s">
        <v>29</v>
      </c>
      <c r="B330" s="559"/>
      <c r="C330" s="355"/>
      <c r="D330" s="355"/>
      <c r="E330" s="357">
        <f>SUM(E331:E334)</f>
        <v>4401818.74</v>
      </c>
      <c r="F330" s="357">
        <v>0</v>
      </c>
      <c r="G330" s="359">
        <v>0</v>
      </c>
      <c r="H330" s="357">
        <v>0</v>
      </c>
      <c r="I330" s="357">
        <f>SUM(I331:I334)</f>
        <v>1390</v>
      </c>
      <c r="J330" s="357"/>
      <c r="K330" s="357"/>
      <c r="L330" s="357">
        <f>SUM(L331:L334)</f>
        <v>4401818.74</v>
      </c>
      <c r="M330" s="357">
        <v>0</v>
      </c>
      <c r="N330" s="357">
        <v>0</v>
      </c>
      <c r="O330" s="357">
        <v>0</v>
      </c>
      <c r="P330" s="357">
        <v>0</v>
      </c>
      <c r="Q330" s="357">
        <v>0</v>
      </c>
      <c r="R330" s="357">
        <v>0</v>
      </c>
      <c r="S330" s="357">
        <v>0</v>
      </c>
      <c r="T330" s="357">
        <v>0</v>
      </c>
      <c r="U330" s="357">
        <v>0</v>
      </c>
      <c r="V330" s="357">
        <v>0</v>
      </c>
    </row>
    <row r="331" spans="1:22" s="336" customFormat="1" ht="9" hidden="1" customHeight="1">
      <c r="A331" s="358">
        <v>233</v>
      </c>
      <c r="B331" s="371" t="s">
        <v>30</v>
      </c>
      <c r="C331" s="355" t="s">
        <v>998</v>
      </c>
      <c r="D331" s="355"/>
      <c r="E331" s="357">
        <f>F331+H331+L331+N331+P331+R331+S331+T331+U331+V331</f>
        <v>1303063.58</v>
      </c>
      <c r="F331" s="357">
        <v>0</v>
      </c>
      <c r="G331" s="359">
        <v>0</v>
      </c>
      <c r="H331" s="357">
        <v>0</v>
      </c>
      <c r="I331" s="357">
        <v>448</v>
      </c>
      <c r="J331" s="357" t="s">
        <v>109</v>
      </c>
      <c r="K331" s="357">
        <v>3438.05</v>
      </c>
      <c r="L331" s="357">
        <v>1303063.58</v>
      </c>
      <c r="M331" s="357">
        <v>0</v>
      </c>
      <c r="N331" s="357">
        <v>0</v>
      </c>
      <c r="O331" s="357">
        <v>0</v>
      </c>
      <c r="P331" s="357">
        <v>0</v>
      </c>
      <c r="Q331" s="357">
        <v>0</v>
      </c>
      <c r="R331" s="357">
        <v>0</v>
      </c>
      <c r="S331" s="357">
        <v>0</v>
      </c>
      <c r="T331" s="357">
        <v>0</v>
      </c>
      <c r="U331" s="357">
        <v>0</v>
      </c>
      <c r="V331" s="357">
        <v>0</v>
      </c>
    </row>
    <row r="332" spans="1:22" s="336" customFormat="1" ht="9" hidden="1" customHeight="1">
      <c r="A332" s="358">
        <v>234</v>
      </c>
      <c r="B332" s="371" t="s">
        <v>31</v>
      </c>
      <c r="C332" s="355" t="s">
        <v>998</v>
      </c>
      <c r="D332" s="355"/>
      <c r="E332" s="357">
        <f>F332+H332+L332+N332+P332+R332+S332+T332+U332+V332</f>
        <v>1488399.29</v>
      </c>
      <c r="F332" s="357">
        <v>0</v>
      </c>
      <c r="G332" s="359">
        <v>0</v>
      </c>
      <c r="H332" s="357">
        <v>0</v>
      </c>
      <c r="I332" s="357">
        <v>472</v>
      </c>
      <c r="J332" s="357" t="s">
        <v>109</v>
      </c>
      <c r="K332" s="357">
        <v>3438.05</v>
      </c>
      <c r="L332" s="357">
        <v>1488399.29</v>
      </c>
      <c r="M332" s="357">
        <v>0</v>
      </c>
      <c r="N332" s="357">
        <v>0</v>
      </c>
      <c r="O332" s="357">
        <v>0</v>
      </c>
      <c r="P332" s="357">
        <v>0</v>
      </c>
      <c r="Q332" s="357">
        <v>0</v>
      </c>
      <c r="R332" s="357">
        <v>0</v>
      </c>
      <c r="S332" s="357">
        <v>0</v>
      </c>
      <c r="T332" s="357">
        <v>0</v>
      </c>
      <c r="U332" s="357">
        <v>0</v>
      </c>
      <c r="V332" s="357">
        <v>0</v>
      </c>
    </row>
    <row r="333" spans="1:22" s="336" customFormat="1" ht="9" hidden="1" customHeight="1">
      <c r="A333" s="358">
        <v>235</v>
      </c>
      <c r="B333" s="371" t="s">
        <v>32</v>
      </c>
      <c r="C333" s="355" t="s">
        <v>998</v>
      </c>
      <c r="D333" s="355"/>
      <c r="E333" s="357">
        <f>F333+H333+L333+N333+P333+R333+S333+T333+U333+V333</f>
        <v>740359.55</v>
      </c>
      <c r="F333" s="357">
        <v>0</v>
      </c>
      <c r="G333" s="359">
        <v>0</v>
      </c>
      <c r="H333" s="357">
        <v>0</v>
      </c>
      <c r="I333" s="357">
        <v>215</v>
      </c>
      <c r="J333" s="357" t="s">
        <v>109</v>
      </c>
      <c r="K333" s="357">
        <v>3438.05</v>
      </c>
      <c r="L333" s="357">
        <v>740359.55</v>
      </c>
      <c r="M333" s="357">
        <v>0</v>
      </c>
      <c r="N333" s="357">
        <v>0</v>
      </c>
      <c r="O333" s="357">
        <v>0</v>
      </c>
      <c r="P333" s="357">
        <v>0</v>
      </c>
      <c r="Q333" s="357">
        <v>0</v>
      </c>
      <c r="R333" s="357">
        <v>0</v>
      </c>
      <c r="S333" s="357">
        <v>0</v>
      </c>
      <c r="T333" s="357">
        <v>0</v>
      </c>
      <c r="U333" s="357">
        <v>0</v>
      </c>
      <c r="V333" s="357">
        <v>0</v>
      </c>
    </row>
    <row r="334" spans="1:22" s="336" customFormat="1" ht="9" hidden="1" customHeight="1">
      <c r="A334" s="358">
        <v>236</v>
      </c>
      <c r="B334" s="371" t="s">
        <v>33</v>
      </c>
      <c r="C334" s="355" t="s">
        <v>998</v>
      </c>
      <c r="D334" s="355"/>
      <c r="E334" s="357">
        <f>F334+H334+L334+N334+P334+R334+S334+T334+U334+V334</f>
        <v>869996.32</v>
      </c>
      <c r="F334" s="357">
        <v>0</v>
      </c>
      <c r="G334" s="359">
        <v>0</v>
      </c>
      <c r="H334" s="357">
        <v>0</v>
      </c>
      <c r="I334" s="357">
        <v>255</v>
      </c>
      <c r="J334" s="357" t="s">
        <v>109</v>
      </c>
      <c r="K334" s="357">
        <v>3438.05</v>
      </c>
      <c r="L334" s="357">
        <v>869996.32</v>
      </c>
      <c r="M334" s="357">
        <v>0</v>
      </c>
      <c r="N334" s="357">
        <v>0</v>
      </c>
      <c r="O334" s="357">
        <v>0</v>
      </c>
      <c r="P334" s="357">
        <v>0</v>
      </c>
      <c r="Q334" s="357">
        <v>0</v>
      </c>
      <c r="R334" s="357">
        <v>0</v>
      </c>
      <c r="S334" s="357">
        <v>0</v>
      </c>
      <c r="T334" s="357">
        <v>0</v>
      </c>
      <c r="U334" s="357">
        <v>0</v>
      </c>
      <c r="V334" s="357">
        <v>0</v>
      </c>
    </row>
    <row r="335" spans="1:22" s="18" customFormat="1" ht="10.5" hidden="1" customHeight="1">
      <c r="A335" s="550" t="s">
        <v>34</v>
      </c>
      <c r="B335" s="550"/>
      <c r="C335" s="550"/>
      <c r="D335" s="550"/>
      <c r="E335" s="550"/>
      <c r="F335" s="550"/>
      <c r="G335" s="550"/>
      <c r="H335" s="550"/>
      <c r="I335" s="550"/>
      <c r="J335" s="550"/>
      <c r="K335" s="550"/>
      <c r="L335" s="550"/>
      <c r="M335" s="550"/>
      <c r="N335" s="550"/>
      <c r="O335" s="550"/>
      <c r="P335" s="550"/>
      <c r="Q335" s="550"/>
      <c r="R335" s="550"/>
      <c r="S335" s="550"/>
      <c r="T335" s="550"/>
      <c r="U335" s="550"/>
      <c r="V335" s="550"/>
    </row>
    <row r="336" spans="1:22" s="18" customFormat="1" ht="22.5" hidden="1" customHeight="1">
      <c r="A336" s="559" t="s">
        <v>35</v>
      </c>
      <c r="B336" s="559"/>
      <c r="C336" s="355"/>
      <c r="D336" s="355"/>
      <c r="E336" s="357">
        <f>SUM(E337:E339)</f>
        <v>10278321.41</v>
      </c>
      <c r="F336" s="395">
        <v>0</v>
      </c>
      <c r="G336" s="431">
        <v>0</v>
      </c>
      <c r="H336" s="395">
        <v>0</v>
      </c>
      <c r="I336" s="357">
        <f>SUM(I337:I339)</f>
        <v>2693</v>
      </c>
      <c r="J336" s="395"/>
      <c r="K336" s="395"/>
      <c r="L336" s="357">
        <f>SUM(L337:L339)</f>
        <v>10278321.41</v>
      </c>
      <c r="M336" s="395">
        <v>0</v>
      </c>
      <c r="N336" s="395">
        <v>0</v>
      </c>
      <c r="O336" s="395">
        <v>0</v>
      </c>
      <c r="P336" s="395">
        <v>0</v>
      </c>
      <c r="Q336" s="395">
        <v>0</v>
      </c>
      <c r="R336" s="395">
        <v>0</v>
      </c>
      <c r="S336" s="395">
        <v>0</v>
      </c>
      <c r="T336" s="395">
        <v>0</v>
      </c>
      <c r="U336" s="395">
        <v>0</v>
      </c>
      <c r="V336" s="395">
        <v>0</v>
      </c>
    </row>
    <row r="337" spans="1:22" s="18" customFormat="1" ht="9" hidden="1" customHeight="1">
      <c r="A337" s="358">
        <v>237</v>
      </c>
      <c r="B337" s="371" t="s">
        <v>36</v>
      </c>
      <c r="C337" s="355" t="s">
        <v>997</v>
      </c>
      <c r="D337" s="355"/>
      <c r="E337" s="357">
        <f>L337</f>
        <v>8244894.0599999996</v>
      </c>
      <c r="F337" s="395">
        <v>0</v>
      </c>
      <c r="G337" s="431">
        <v>0</v>
      </c>
      <c r="H337" s="395">
        <v>0</v>
      </c>
      <c r="I337" s="357">
        <v>2022</v>
      </c>
      <c r="J337" s="387" t="s">
        <v>108</v>
      </c>
      <c r="K337" s="357">
        <v>2022.07</v>
      </c>
      <c r="L337" s="357">
        <v>8244894.0599999996</v>
      </c>
      <c r="M337" s="395">
        <v>0</v>
      </c>
      <c r="N337" s="395">
        <v>0</v>
      </c>
      <c r="O337" s="395">
        <v>0</v>
      </c>
      <c r="P337" s="395">
        <v>0</v>
      </c>
      <c r="Q337" s="395">
        <v>0</v>
      </c>
      <c r="R337" s="395">
        <v>0</v>
      </c>
      <c r="S337" s="395">
        <v>0</v>
      </c>
      <c r="T337" s="395">
        <v>0</v>
      </c>
      <c r="U337" s="395">
        <v>0</v>
      </c>
      <c r="V337" s="395">
        <v>0</v>
      </c>
    </row>
    <row r="338" spans="1:22" s="336" customFormat="1" ht="9" hidden="1" customHeight="1">
      <c r="A338" s="358">
        <v>238</v>
      </c>
      <c r="B338" s="371" t="s">
        <v>37</v>
      </c>
      <c r="C338" s="355" t="s">
        <v>998</v>
      </c>
      <c r="D338" s="355"/>
      <c r="E338" s="357">
        <f>L338</f>
        <v>795621.26</v>
      </c>
      <c r="F338" s="395">
        <v>0</v>
      </c>
      <c r="G338" s="431">
        <v>0</v>
      </c>
      <c r="H338" s="395">
        <v>0</v>
      </c>
      <c r="I338" s="357">
        <v>254</v>
      </c>
      <c r="J338" s="357" t="s">
        <v>109</v>
      </c>
      <c r="K338" s="357">
        <v>3438.05</v>
      </c>
      <c r="L338" s="357">
        <v>795621.26</v>
      </c>
      <c r="M338" s="395">
        <v>0</v>
      </c>
      <c r="N338" s="395">
        <v>0</v>
      </c>
      <c r="O338" s="395">
        <v>0</v>
      </c>
      <c r="P338" s="395">
        <v>0</v>
      </c>
      <c r="Q338" s="395">
        <v>0</v>
      </c>
      <c r="R338" s="395">
        <v>0</v>
      </c>
      <c r="S338" s="395">
        <v>0</v>
      </c>
      <c r="T338" s="395">
        <v>0</v>
      </c>
      <c r="U338" s="395">
        <v>0</v>
      </c>
      <c r="V338" s="395">
        <v>0</v>
      </c>
    </row>
    <row r="339" spans="1:22" s="18" customFormat="1" ht="9" hidden="1" customHeight="1">
      <c r="A339" s="358">
        <v>239</v>
      </c>
      <c r="B339" s="371" t="s">
        <v>362</v>
      </c>
      <c r="C339" s="355" t="s">
        <v>997</v>
      </c>
      <c r="D339" s="355"/>
      <c r="E339" s="357">
        <f>L339</f>
        <v>1237806.0900000001</v>
      </c>
      <c r="F339" s="395">
        <v>0</v>
      </c>
      <c r="G339" s="431">
        <v>0</v>
      </c>
      <c r="H339" s="395">
        <v>0</v>
      </c>
      <c r="I339" s="357">
        <v>417</v>
      </c>
      <c r="J339" s="387" t="s">
        <v>108</v>
      </c>
      <c r="K339" s="357">
        <v>2022.07</v>
      </c>
      <c r="L339" s="357">
        <v>1237806.0900000001</v>
      </c>
      <c r="M339" s="395">
        <v>0</v>
      </c>
      <c r="N339" s="395">
        <v>0</v>
      </c>
      <c r="O339" s="395">
        <v>0</v>
      </c>
      <c r="P339" s="395">
        <v>0</v>
      </c>
      <c r="Q339" s="395">
        <v>0</v>
      </c>
      <c r="R339" s="395">
        <v>0</v>
      </c>
      <c r="S339" s="395">
        <v>0</v>
      </c>
      <c r="T339" s="395">
        <v>0</v>
      </c>
      <c r="U339" s="395">
        <v>0</v>
      </c>
      <c r="V339" s="395">
        <v>0</v>
      </c>
    </row>
    <row r="340" spans="1:22" s="18" customFormat="1" ht="11.25" hidden="1" customHeight="1">
      <c r="A340" s="550" t="s">
        <v>39</v>
      </c>
      <c r="B340" s="550"/>
      <c r="C340" s="550"/>
      <c r="D340" s="550"/>
      <c r="E340" s="550"/>
      <c r="F340" s="550"/>
      <c r="G340" s="550"/>
      <c r="H340" s="550"/>
      <c r="I340" s="550"/>
      <c r="J340" s="550"/>
      <c r="K340" s="550"/>
      <c r="L340" s="550"/>
      <c r="M340" s="550"/>
      <c r="N340" s="550"/>
      <c r="O340" s="550"/>
      <c r="P340" s="550"/>
      <c r="Q340" s="550"/>
      <c r="R340" s="550"/>
      <c r="S340" s="550"/>
      <c r="T340" s="550"/>
      <c r="U340" s="550"/>
      <c r="V340" s="550"/>
    </row>
    <row r="341" spans="1:22" s="18" customFormat="1" ht="21" hidden="1" customHeight="1">
      <c r="A341" s="559" t="s">
        <v>38</v>
      </c>
      <c r="B341" s="559"/>
      <c r="C341" s="355"/>
      <c r="D341" s="355"/>
      <c r="E341" s="357">
        <f>SUM(E342:E343)</f>
        <v>4074185.05</v>
      </c>
      <c r="F341" s="357">
        <f t="shared" ref="F341:V341" si="34">SUM(F342:F343)</f>
        <v>1923516.8900000001</v>
      </c>
      <c r="G341" s="360">
        <f t="shared" si="34"/>
        <v>0</v>
      </c>
      <c r="H341" s="357">
        <f t="shared" si="34"/>
        <v>0</v>
      </c>
      <c r="I341" s="357">
        <f t="shared" si="34"/>
        <v>545.82000000000005</v>
      </c>
      <c r="J341" s="357">
        <f t="shared" si="34"/>
        <v>0</v>
      </c>
      <c r="K341" s="357">
        <f t="shared" si="34"/>
        <v>5402.65</v>
      </c>
      <c r="L341" s="357">
        <f t="shared" si="34"/>
        <v>2068137.48</v>
      </c>
      <c r="M341" s="357">
        <f t="shared" si="34"/>
        <v>0</v>
      </c>
      <c r="N341" s="357">
        <f t="shared" si="34"/>
        <v>0</v>
      </c>
      <c r="O341" s="357">
        <f t="shared" si="34"/>
        <v>0</v>
      </c>
      <c r="P341" s="357">
        <f t="shared" si="34"/>
        <v>0</v>
      </c>
      <c r="Q341" s="357">
        <f t="shared" si="34"/>
        <v>0</v>
      </c>
      <c r="R341" s="357">
        <f t="shared" si="34"/>
        <v>0</v>
      </c>
      <c r="S341" s="357">
        <f t="shared" si="34"/>
        <v>0</v>
      </c>
      <c r="T341" s="357">
        <f t="shared" si="34"/>
        <v>0</v>
      </c>
      <c r="U341" s="357">
        <f t="shared" si="34"/>
        <v>82530.679999999993</v>
      </c>
      <c r="V341" s="357">
        <f t="shared" si="34"/>
        <v>0</v>
      </c>
    </row>
    <row r="342" spans="1:22" s="18" customFormat="1" ht="21.75" customHeight="1">
      <c r="A342" s="456">
        <v>1</v>
      </c>
      <c r="B342" s="460" t="s">
        <v>42</v>
      </c>
      <c r="C342" s="355" t="s">
        <v>998</v>
      </c>
      <c r="D342" s="355"/>
      <c r="E342" s="457">
        <f>F342+H342+L342+N342+P342+R342+S342+T342+U342+V342</f>
        <v>2068137.48</v>
      </c>
      <c r="F342" s="457">
        <v>0</v>
      </c>
      <c r="G342" s="458">
        <v>0</v>
      </c>
      <c r="H342" s="457">
        <v>0</v>
      </c>
      <c r="I342" s="457">
        <v>545.82000000000005</v>
      </c>
      <c r="J342" s="357" t="s">
        <v>109</v>
      </c>
      <c r="K342" s="357">
        <v>3438.05</v>
      </c>
      <c r="L342" s="457">
        <v>2068137.48</v>
      </c>
      <c r="M342" s="457">
        <v>0</v>
      </c>
      <c r="N342" s="457">
        <v>0</v>
      </c>
      <c r="O342" s="457">
        <v>0</v>
      </c>
      <c r="P342" s="457">
        <v>0</v>
      </c>
      <c r="Q342" s="457">
        <v>0</v>
      </c>
      <c r="R342" s="457">
        <v>0</v>
      </c>
      <c r="S342" s="457">
        <v>0</v>
      </c>
      <c r="T342" s="457">
        <v>0</v>
      </c>
      <c r="U342" s="457">
        <v>0</v>
      </c>
      <c r="V342" s="457">
        <v>0</v>
      </c>
    </row>
    <row r="343" spans="1:22" s="336" customFormat="1" ht="18.75" customHeight="1">
      <c r="A343" s="456">
        <v>2</v>
      </c>
      <c r="B343" s="460" t="s">
        <v>40</v>
      </c>
      <c r="C343" s="355" t="s">
        <v>1000</v>
      </c>
      <c r="D343" s="355"/>
      <c r="E343" s="457">
        <f>F343+H343+L343+N343+P343+R343+S343+T343+U343+V343</f>
        <v>2006047.57</v>
      </c>
      <c r="F343" s="457">
        <v>1923516.8900000001</v>
      </c>
      <c r="G343" s="458">
        <v>0</v>
      </c>
      <c r="H343" s="457">
        <v>0</v>
      </c>
      <c r="I343" s="457">
        <v>0</v>
      </c>
      <c r="J343" s="357" t="s">
        <v>226</v>
      </c>
      <c r="K343" s="357">
        <f>(200+1060+170+260+190)*1.045</f>
        <v>1964.6</v>
      </c>
      <c r="L343" s="457">
        <v>0</v>
      </c>
      <c r="M343" s="457">
        <v>0</v>
      </c>
      <c r="N343" s="457">
        <v>0</v>
      </c>
      <c r="O343" s="457">
        <v>0</v>
      </c>
      <c r="P343" s="457">
        <v>0</v>
      </c>
      <c r="Q343" s="457">
        <v>0</v>
      </c>
      <c r="R343" s="457">
        <v>0</v>
      </c>
      <c r="S343" s="457">
        <v>0</v>
      </c>
      <c r="T343" s="457">
        <v>0</v>
      </c>
      <c r="U343" s="457">
        <v>82530.679999999993</v>
      </c>
      <c r="V343" s="457">
        <v>0</v>
      </c>
    </row>
    <row r="344" spans="1:22" s="18" customFormat="1" ht="11.25" hidden="1" customHeight="1">
      <c r="A344" s="550" t="s">
        <v>44</v>
      </c>
      <c r="B344" s="550"/>
      <c r="C344" s="550"/>
      <c r="D344" s="550"/>
      <c r="E344" s="550"/>
      <c r="F344" s="550"/>
      <c r="G344" s="550"/>
      <c r="H344" s="550"/>
      <c r="I344" s="550"/>
      <c r="J344" s="550"/>
      <c r="K344" s="550"/>
      <c r="L344" s="550"/>
      <c r="M344" s="550"/>
      <c r="N344" s="550"/>
      <c r="O344" s="550"/>
      <c r="P344" s="550"/>
      <c r="Q344" s="550"/>
      <c r="R344" s="550"/>
      <c r="S344" s="550"/>
      <c r="T344" s="550"/>
      <c r="U344" s="550"/>
      <c r="V344" s="550"/>
    </row>
    <row r="345" spans="1:22" s="18" customFormat="1" ht="20.25" hidden="1" customHeight="1">
      <c r="A345" s="559" t="s">
        <v>43</v>
      </c>
      <c r="B345" s="559"/>
      <c r="C345" s="355"/>
      <c r="D345" s="355"/>
      <c r="E345" s="357">
        <f>SUM(E346:E359)</f>
        <v>27434756.550000001</v>
      </c>
      <c r="F345" s="357">
        <v>0</v>
      </c>
      <c r="G345" s="359">
        <v>0</v>
      </c>
      <c r="H345" s="357">
        <v>0</v>
      </c>
      <c r="I345" s="357">
        <f>SUM(I346:I359)</f>
        <v>8938.0299999999988</v>
      </c>
      <c r="J345" s="357"/>
      <c r="K345" s="357"/>
      <c r="L345" s="357">
        <f>SUM(L346:L359)</f>
        <v>27434756.550000001</v>
      </c>
      <c r="M345" s="357">
        <v>0</v>
      </c>
      <c r="N345" s="357">
        <v>0</v>
      </c>
      <c r="O345" s="357">
        <v>0</v>
      </c>
      <c r="P345" s="357">
        <v>0</v>
      </c>
      <c r="Q345" s="357">
        <v>0</v>
      </c>
      <c r="R345" s="357">
        <v>0</v>
      </c>
      <c r="S345" s="357">
        <v>0</v>
      </c>
      <c r="T345" s="357">
        <v>0</v>
      </c>
      <c r="U345" s="357">
        <v>0</v>
      </c>
      <c r="V345" s="357">
        <v>0</v>
      </c>
    </row>
    <row r="346" spans="1:22" s="18" customFormat="1" ht="9" hidden="1" customHeight="1">
      <c r="A346" s="358">
        <v>242</v>
      </c>
      <c r="B346" s="371" t="s">
        <v>45</v>
      </c>
      <c r="C346" s="355" t="s">
        <v>998</v>
      </c>
      <c r="D346" s="355"/>
      <c r="E346" s="357">
        <f t="shared" ref="E346:E359" si="35">F346+H346+L346+N346+P346+R346+S346+T346+U346+V346</f>
        <v>1720751.65</v>
      </c>
      <c r="F346" s="357">
        <v>0</v>
      </c>
      <c r="G346" s="359">
        <v>0</v>
      </c>
      <c r="H346" s="357">
        <v>0</v>
      </c>
      <c r="I346" s="357">
        <v>568.29999999999995</v>
      </c>
      <c r="J346" s="357" t="s">
        <v>109</v>
      </c>
      <c r="K346" s="357">
        <v>3438.05</v>
      </c>
      <c r="L346" s="357">
        <v>1720751.65</v>
      </c>
      <c r="M346" s="357">
        <v>0</v>
      </c>
      <c r="N346" s="357">
        <v>0</v>
      </c>
      <c r="O346" s="357">
        <v>0</v>
      </c>
      <c r="P346" s="357">
        <v>0</v>
      </c>
      <c r="Q346" s="357">
        <v>0</v>
      </c>
      <c r="R346" s="357">
        <v>0</v>
      </c>
      <c r="S346" s="357">
        <v>0</v>
      </c>
      <c r="T346" s="357">
        <v>0</v>
      </c>
      <c r="U346" s="357">
        <v>0</v>
      </c>
      <c r="V346" s="357">
        <v>0</v>
      </c>
    </row>
    <row r="347" spans="1:22" s="336" customFormat="1" ht="9" hidden="1" customHeight="1">
      <c r="A347" s="358">
        <v>243</v>
      </c>
      <c r="B347" s="371" t="s">
        <v>46</v>
      </c>
      <c r="C347" s="355" t="s">
        <v>998</v>
      </c>
      <c r="D347" s="355"/>
      <c r="E347" s="357">
        <f t="shared" si="35"/>
        <v>1285114.48</v>
      </c>
      <c r="F347" s="357">
        <v>0</v>
      </c>
      <c r="G347" s="359">
        <v>0</v>
      </c>
      <c r="H347" s="357">
        <v>0</v>
      </c>
      <c r="I347" s="357">
        <v>421</v>
      </c>
      <c r="J347" s="357" t="s">
        <v>109</v>
      </c>
      <c r="K347" s="357">
        <v>3438.05</v>
      </c>
      <c r="L347" s="357">
        <v>1285114.48</v>
      </c>
      <c r="M347" s="357">
        <v>0</v>
      </c>
      <c r="N347" s="357">
        <v>0</v>
      </c>
      <c r="O347" s="357">
        <v>0</v>
      </c>
      <c r="P347" s="357">
        <v>0</v>
      </c>
      <c r="Q347" s="357">
        <v>0</v>
      </c>
      <c r="R347" s="357">
        <v>0</v>
      </c>
      <c r="S347" s="357">
        <v>0</v>
      </c>
      <c r="T347" s="357">
        <v>0</v>
      </c>
      <c r="U347" s="357">
        <v>0</v>
      </c>
      <c r="V347" s="357">
        <v>0</v>
      </c>
    </row>
    <row r="348" spans="1:22" s="336" customFormat="1" ht="9" hidden="1" customHeight="1">
      <c r="A348" s="358">
        <v>244</v>
      </c>
      <c r="B348" s="371" t="s">
        <v>47</v>
      </c>
      <c r="C348" s="355" t="s">
        <v>998</v>
      </c>
      <c r="D348" s="355"/>
      <c r="E348" s="357">
        <f t="shared" si="35"/>
        <v>2005619.8</v>
      </c>
      <c r="F348" s="357">
        <v>0</v>
      </c>
      <c r="G348" s="359">
        <v>0</v>
      </c>
      <c r="H348" s="357">
        <v>0</v>
      </c>
      <c r="I348" s="357">
        <v>592.76</v>
      </c>
      <c r="J348" s="357" t="s">
        <v>109</v>
      </c>
      <c r="K348" s="357">
        <v>3438.05</v>
      </c>
      <c r="L348" s="357">
        <v>2005619.8</v>
      </c>
      <c r="M348" s="357">
        <v>0</v>
      </c>
      <c r="N348" s="357">
        <v>0</v>
      </c>
      <c r="O348" s="357">
        <v>0</v>
      </c>
      <c r="P348" s="357">
        <v>0</v>
      </c>
      <c r="Q348" s="357">
        <v>0</v>
      </c>
      <c r="R348" s="357">
        <v>0</v>
      </c>
      <c r="S348" s="357">
        <v>0</v>
      </c>
      <c r="T348" s="357">
        <v>0</v>
      </c>
      <c r="U348" s="357">
        <v>0</v>
      </c>
      <c r="V348" s="357">
        <v>0</v>
      </c>
    </row>
    <row r="349" spans="1:22" s="18" customFormat="1" ht="9" hidden="1" customHeight="1">
      <c r="A349" s="358">
        <v>245</v>
      </c>
      <c r="B349" s="371" t="s">
        <v>58</v>
      </c>
      <c r="C349" s="355" t="s">
        <v>997</v>
      </c>
      <c r="D349" s="355"/>
      <c r="E349" s="357">
        <f t="shared" si="35"/>
        <v>3171266.41</v>
      </c>
      <c r="F349" s="357">
        <v>0</v>
      </c>
      <c r="G349" s="359">
        <v>0</v>
      </c>
      <c r="H349" s="357">
        <v>0</v>
      </c>
      <c r="I349" s="357">
        <v>911</v>
      </c>
      <c r="J349" s="387" t="s">
        <v>108</v>
      </c>
      <c r="K349" s="357">
        <v>2022.07</v>
      </c>
      <c r="L349" s="357">
        <v>3171266.41</v>
      </c>
      <c r="M349" s="357">
        <v>0</v>
      </c>
      <c r="N349" s="357">
        <v>0</v>
      </c>
      <c r="O349" s="357">
        <v>0</v>
      </c>
      <c r="P349" s="357">
        <v>0</v>
      </c>
      <c r="Q349" s="357">
        <v>0</v>
      </c>
      <c r="R349" s="357">
        <v>0</v>
      </c>
      <c r="S349" s="357">
        <v>0</v>
      </c>
      <c r="T349" s="357">
        <v>0</v>
      </c>
      <c r="U349" s="357">
        <v>0</v>
      </c>
      <c r="V349" s="357">
        <v>0</v>
      </c>
    </row>
    <row r="350" spans="1:22" s="18" customFormat="1" ht="9" hidden="1" customHeight="1">
      <c r="A350" s="358">
        <v>246</v>
      </c>
      <c r="B350" s="371" t="s">
        <v>48</v>
      </c>
      <c r="C350" s="355" t="s">
        <v>997</v>
      </c>
      <c r="D350" s="355"/>
      <c r="E350" s="357">
        <f t="shared" si="35"/>
        <v>3050452.81</v>
      </c>
      <c r="F350" s="357">
        <v>0</v>
      </c>
      <c r="G350" s="359">
        <v>0</v>
      </c>
      <c r="H350" s="357">
        <v>0</v>
      </c>
      <c r="I350" s="357">
        <v>938</v>
      </c>
      <c r="J350" s="387" t="s">
        <v>108</v>
      </c>
      <c r="K350" s="357">
        <v>2022.07</v>
      </c>
      <c r="L350" s="357">
        <v>3050452.81</v>
      </c>
      <c r="M350" s="357">
        <v>0</v>
      </c>
      <c r="N350" s="357">
        <v>0</v>
      </c>
      <c r="O350" s="357">
        <v>0</v>
      </c>
      <c r="P350" s="357">
        <v>0</v>
      </c>
      <c r="Q350" s="357">
        <v>0</v>
      </c>
      <c r="R350" s="357">
        <v>0</v>
      </c>
      <c r="S350" s="357">
        <v>0</v>
      </c>
      <c r="T350" s="357">
        <v>0</v>
      </c>
      <c r="U350" s="357">
        <v>0</v>
      </c>
      <c r="V350" s="357">
        <v>0</v>
      </c>
    </row>
    <row r="351" spans="1:22" s="18" customFormat="1" ht="9" hidden="1" customHeight="1">
      <c r="A351" s="358">
        <v>247</v>
      </c>
      <c r="B351" s="371" t="s">
        <v>55</v>
      </c>
      <c r="C351" s="355" t="s">
        <v>998</v>
      </c>
      <c r="D351" s="355"/>
      <c r="E351" s="357">
        <f t="shared" si="35"/>
        <v>1651139.81</v>
      </c>
      <c r="F351" s="357">
        <v>0</v>
      </c>
      <c r="G351" s="359">
        <v>0</v>
      </c>
      <c r="H351" s="357">
        <v>0</v>
      </c>
      <c r="I351" s="357">
        <v>531.9</v>
      </c>
      <c r="J351" s="387" t="s">
        <v>109</v>
      </c>
      <c r="K351" s="357">
        <v>3438.05</v>
      </c>
      <c r="L351" s="357">
        <v>1651139.81</v>
      </c>
      <c r="M351" s="357">
        <v>0</v>
      </c>
      <c r="N351" s="357">
        <v>0</v>
      </c>
      <c r="O351" s="357">
        <v>0</v>
      </c>
      <c r="P351" s="357">
        <v>0</v>
      </c>
      <c r="Q351" s="357">
        <v>0</v>
      </c>
      <c r="R351" s="357">
        <v>0</v>
      </c>
      <c r="S351" s="357">
        <v>0</v>
      </c>
      <c r="T351" s="357">
        <v>0</v>
      </c>
      <c r="U351" s="357">
        <v>0</v>
      </c>
      <c r="V351" s="357">
        <v>0</v>
      </c>
    </row>
    <row r="352" spans="1:22" s="336" customFormat="1" ht="9" hidden="1" customHeight="1">
      <c r="A352" s="358">
        <v>248</v>
      </c>
      <c r="B352" s="371" t="s">
        <v>49</v>
      </c>
      <c r="C352" s="355" t="s">
        <v>998</v>
      </c>
      <c r="D352" s="355"/>
      <c r="E352" s="357">
        <f t="shared" si="35"/>
        <v>1238251.32</v>
      </c>
      <c r="F352" s="357">
        <v>0</v>
      </c>
      <c r="G352" s="359">
        <v>0</v>
      </c>
      <c r="H352" s="357">
        <v>0</v>
      </c>
      <c r="I352" s="357">
        <v>394.52</v>
      </c>
      <c r="J352" s="357" t="s">
        <v>109</v>
      </c>
      <c r="K352" s="357">
        <v>3438.05</v>
      </c>
      <c r="L352" s="357">
        <v>1238251.32</v>
      </c>
      <c r="M352" s="357">
        <v>0</v>
      </c>
      <c r="N352" s="357">
        <v>0</v>
      </c>
      <c r="O352" s="357">
        <v>0</v>
      </c>
      <c r="P352" s="357">
        <v>0</v>
      </c>
      <c r="Q352" s="357">
        <v>0</v>
      </c>
      <c r="R352" s="357">
        <v>0</v>
      </c>
      <c r="S352" s="357">
        <v>0</v>
      </c>
      <c r="T352" s="357">
        <v>0</v>
      </c>
      <c r="U352" s="357">
        <v>0</v>
      </c>
      <c r="V352" s="357">
        <v>0</v>
      </c>
    </row>
    <row r="353" spans="1:22" s="18" customFormat="1" ht="9" hidden="1" customHeight="1">
      <c r="A353" s="358">
        <v>249</v>
      </c>
      <c r="B353" s="371" t="s">
        <v>50</v>
      </c>
      <c r="C353" s="355" t="s">
        <v>997</v>
      </c>
      <c r="D353" s="355"/>
      <c r="E353" s="357">
        <f t="shared" si="35"/>
        <v>1641356.28</v>
      </c>
      <c r="F353" s="357">
        <v>0</v>
      </c>
      <c r="G353" s="359">
        <v>0</v>
      </c>
      <c r="H353" s="357">
        <v>0</v>
      </c>
      <c r="I353" s="357">
        <v>523</v>
      </c>
      <c r="J353" s="387" t="s">
        <v>108</v>
      </c>
      <c r="K353" s="357">
        <v>2022.07</v>
      </c>
      <c r="L353" s="357">
        <v>1641356.28</v>
      </c>
      <c r="M353" s="357">
        <v>0</v>
      </c>
      <c r="N353" s="357">
        <v>0</v>
      </c>
      <c r="O353" s="357">
        <v>0</v>
      </c>
      <c r="P353" s="357">
        <v>0</v>
      </c>
      <c r="Q353" s="357">
        <v>0</v>
      </c>
      <c r="R353" s="357">
        <v>0</v>
      </c>
      <c r="S353" s="357">
        <v>0</v>
      </c>
      <c r="T353" s="357">
        <v>0</v>
      </c>
      <c r="U353" s="357">
        <v>0</v>
      </c>
      <c r="V353" s="357">
        <v>0</v>
      </c>
    </row>
    <row r="354" spans="1:22" s="18" customFormat="1" ht="9" hidden="1" customHeight="1">
      <c r="A354" s="358">
        <v>250</v>
      </c>
      <c r="B354" s="371" t="s">
        <v>51</v>
      </c>
      <c r="C354" s="355" t="s">
        <v>997</v>
      </c>
      <c r="D354" s="355"/>
      <c r="E354" s="357">
        <f t="shared" si="35"/>
        <v>1892023.06</v>
      </c>
      <c r="F354" s="357">
        <v>0</v>
      </c>
      <c r="G354" s="359">
        <v>0</v>
      </c>
      <c r="H354" s="357">
        <v>0</v>
      </c>
      <c r="I354" s="357">
        <v>517</v>
      </c>
      <c r="J354" s="387" t="s">
        <v>108</v>
      </c>
      <c r="K354" s="357">
        <v>2022.07</v>
      </c>
      <c r="L354" s="357">
        <v>1892023.06</v>
      </c>
      <c r="M354" s="357">
        <v>0</v>
      </c>
      <c r="N354" s="357">
        <v>0</v>
      </c>
      <c r="O354" s="357">
        <v>0</v>
      </c>
      <c r="P354" s="357">
        <v>0</v>
      </c>
      <c r="Q354" s="357">
        <v>0</v>
      </c>
      <c r="R354" s="357">
        <v>0</v>
      </c>
      <c r="S354" s="357">
        <v>0</v>
      </c>
      <c r="T354" s="357">
        <v>0</v>
      </c>
      <c r="U354" s="357">
        <v>0</v>
      </c>
      <c r="V354" s="357">
        <v>0</v>
      </c>
    </row>
    <row r="355" spans="1:22" s="18" customFormat="1" ht="9" hidden="1" customHeight="1">
      <c r="A355" s="358">
        <v>251</v>
      </c>
      <c r="B355" s="371" t="s">
        <v>52</v>
      </c>
      <c r="C355" s="355" t="s">
        <v>997</v>
      </c>
      <c r="D355" s="355"/>
      <c r="E355" s="357">
        <f t="shared" si="35"/>
        <v>2531240.13</v>
      </c>
      <c r="F355" s="357">
        <v>0</v>
      </c>
      <c r="G355" s="359">
        <v>0</v>
      </c>
      <c r="H355" s="357">
        <v>0</v>
      </c>
      <c r="I355" s="357">
        <v>738</v>
      </c>
      <c r="J355" s="387" t="s">
        <v>108</v>
      </c>
      <c r="K355" s="357">
        <v>2022.07</v>
      </c>
      <c r="L355" s="357">
        <v>2531240.13</v>
      </c>
      <c r="M355" s="357">
        <v>0</v>
      </c>
      <c r="N355" s="357">
        <v>0</v>
      </c>
      <c r="O355" s="357">
        <v>0</v>
      </c>
      <c r="P355" s="357">
        <v>0</v>
      </c>
      <c r="Q355" s="357">
        <v>0</v>
      </c>
      <c r="R355" s="357">
        <v>0</v>
      </c>
      <c r="S355" s="357">
        <v>0</v>
      </c>
      <c r="T355" s="357">
        <v>0</v>
      </c>
      <c r="U355" s="357">
        <v>0</v>
      </c>
      <c r="V355" s="357">
        <v>0</v>
      </c>
    </row>
    <row r="356" spans="1:22" s="18" customFormat="1" ht="9" hidden="1" customHeight="1">
      <c r="A356" s="358">
        <v>252</v>
      </c>
      <c r="B356" s="371" t="s">
        <v>53</v>
      </c>
      <c r="C356" s="355" t="s">
        <v>997</v>
      </c>
      <c r="D356" s="355"/>
      <c r="E356" s="357">
        <f t="shared" si="35"/>
        <v>2534340.3199999998</v>
      </c>
      <c r="F356" s="357">
        <v>0</v>
      </c>
      <c r="G356" s="359">
        <v>0</v>
      </c>
      <c r="H356" s="357">
        <v>0</v>
      </c>
      <c r="I356" s="357">
        <v>738</v>
      </c>
      <c r="J356" s="387" t="s">
        <v>108</v>
      </c>
      <c r="K356" s="357">
        <v>2022.07</v>
      </c>
      <c r="L356" s="357">
        <v>2534340.3199999998</v>
      </c>
      <c r="M356" s="357">
        <v>0</v>
      </c>
      <c r="N356" s="357">
        <v>0</v>
      </c>
      <c r="O356" s="357">
        <v>0</v>
      </c>
      <c r="P356" s="357">
        <v>0</v>
      </c>
      <c r="Q356" s="357">
        <v>0</v>
      </c>
      <c r="R356" s="357">
        <v>0</v>
      </c>
      <c r="S356" s="357">
        <v>0</v>
      </c>
      <c r="T356" s="357">
        <v>0</v>
      </c>
      <c r="U356" s="357">
        <v>0</v>
      </c>
      <c r="V356" s="357">
        <v>0</v>
      </c>
    </row>
    <row r="357" spans="1:22" s="336" customFormat="1" ht="9" hidden="1" customHeight="1">
      <c r="A357" s="358">
        <v>253</v>
      </c>
      <c r="B357" s="371" t="s">
        <v>54</v>
      </c>
      <c r="C357" s="355" t="s">
        <v>998</v>
      </c>
      <c r="D357" s="355"/>
      <c r="E357" s="357">
        <f t="shared" si="35"/>
        <v>1590567.17</v>
      </c>
      <c r="F357" s="357">
        <v>0</v>
      </c>
      <c r="G357" s="359">
        <v>0</v>
      </c>
      <c r="H357" s="357">
        <v>0</v>
      </c>
      <c r="I357" s="357">
        <v>954</v>
      </c>
      <c r="J357" s="357" t="s">
        <v>109</v>
      </c>
      <c r="K357" s="357">
        <v>3438.05</v>
      </c>
      <c r="L357" s="357">
        <v>1590567.17</v>
      </c>
      <c r="M357" s="357">
        <v>0</v>
      </c>
      <c r="N357" s="357">
        <v>0</v>
      </c>
      <c r="O357" s="357">
        <v>0</v>
      </c>
      <c r="P357" s="357">
        <v>0</v>
      </c>
      <c r="Q357" s="357">
        <v>0</v>
      </c>
      <c r="R357" s="357">
        <v>0</v>
      </c>
      <c r="S357" s="357">
        <v>0</v>
      </c>
      <c r="T357" s="357">
        <v>0</v>
      </c>
      <c r="U357" s="357">
        <v>0</v>
      </c>
      <c r="V357" s="357">
        <v>0</v>
      </c>
    </row>
    <row r="358" spans="1:22" s="336" customFormat="1" ht="9" hidden="1" customHeight="1">
      <c r="A358" s="358">
        <v>254</v>
      </c>
      <c r="B358" s="371" t="s">
        <v>57</v>
      </c>
      <c r="C358" s="355" t="s">
        <v>1002</v>
      </c>
      <c r="D358" s="355"/>
      <c r="E358" s="357">
        <f t="shared" si="35"/>
        <v>1253453.5</v>
      </c>
      <c r="F358" s="357">
        <v>0</v>
      </c>
      <c r="G358" s="359">
        <v>0</v>
      </c>
      <c r="H358" s="357">
        <v>0</v>
      </c>
      <c r="I358" s="357">
        <v>509.55</v>
      </c>
      <c r="J358" s="387" t="s">
        <v>108</v>
      </c>
      <c r="K358" s="357">
        <v>2022.07</v>
      </c>
      <c r="L358" s="357">
        <v>1253453.5</v>
      </c>
      <c r="M358" s="357">
        <v>0</v>
      </c>
      <c r="N358" s="357">
        <v>0</v>
      </c>
      <c r="O358" s="357">
        <v>0</v>
      </c>
      <c r="P358" s="357">
        <v>0</v>
      </c>
      <c r="Q358" s="357">
        <v>0</v>
      </c>
      <c r="R358" s="357">
        <v>0</v>
      </c>
      <c r="S358" s="357">
        <v>0</v>
      </c>
      <c r="T358" s="357">
        <v>0</v>
      </c>
      <c r="U358" s="357">
        <v>0</v>
      </c>
      <c r="V358" s="357">
        <v>0</v>
      </c>
    </row>
    <row r="359" spans="1:22" s="18" customFormat="1" ht="9" hidden="1" customHeight="1">
      <c r="A359" s="358">
        <v>255</v>
      </c>
      <c r="B359" s="371" t="s">
        <v>56</v>
      </c>
      <c r="C359" s="355" t="s">
        <v>997</v>
      </c>
      <c r="D359" s="355"/>
      <c r="E359" s="357">
        <f t="shared" si="35"/>
        <v>1869179.81</v>
      </c>
      <c r="F359" s="357">
        <v>0</v>
      </c>
      <c r="G359" s="359">
        <v>0</v>
      </c>
      <c r="H359" s="357">
        <v>0</v>
      </c>
      <c r="I359" s="357">
        <v>601</v>
      </c>
      <c r="J359" s="387" t="s">
        <v>108</v>
      </c>
      <c r="K359" s="357">
        <v>2022.07</v>
      </c>
      <c r="L359" s="357">
        <v>1869179.81</v>
      </c>
      <c r="M359" s="357">
        <v>0</v>
      </c>
      <c r="N359" s="357">
        <v>0</v>
      </c>
      <c r="O359" s="357">
        <v>0</v>
      </c>
      <c r="P359" s="357">
        <v>0</v>
      </c>
      <c r="Q359" s="357">
        <v>0</v>
      </c>
      <c r="R359" s="357">
        <v>0</v>
      </c>
      <c r="S359" s="357">
        <v>0</v>
      </c>
      <c r="T359" s="357">
        <v>0</v>
      </c>
      <c r="U359" s="357">
        <v>0</v>
      </c>
      <c r="V359" s="357">
        <v>0</v>
      </c>
    </row>
    <row r="360" spans="1:22" ht="41.25" customHeight="1">
      <c r="A360" s="574" t="s">
        <v>38</v>
      </c>
      <c r="B360" s="574"/>
      <c r="E360" s="461">
        <f>E342+E343</f>
        <v>4074185.05</v>
      </c>
      <c r="F360" s="461">
        <f>F342+F343</f>
        <v>1923516.8900000001</v>
      </c>
      <c r="G360" s="462">
        <v>0</v>
      </c>
      <c r="H360" s="463">
        <v>0</v>
      </c>
      <c r="I360" s="461">
        <f>I342+I343</f>
        <v>545.82000000000005</v>
      </c>
      <c r="L360" s="461">
        <f>L342+L343</f>
        <v>2068137.48</v>
      </c>
      <c r="M360" s="457">
        <v>0</v>
      </c>
      <c r="N360" s="457">
        <v>0</v>
      </c>
      <c r="O360" s="457">
        <v>0</v>
      </c>
      <c r="P360" s="457">
        <v>0</v>
      </c>
      <c r="Q360" s="457">
        <v>0</v>
      </c>
      <c r="R360" s="457">
        <v>0</v>
      </c>
      <c r="S360" s="457">
        <v>0</v>
      </c>
      <c r="T360" s="457">
        <v>0</v>
      </c>
      <c r="U360" s="461">
        <f>U342+U343</f>
        <v>82530.679999999993</v>
      </c>
      <c r="V360" s="463">
        <v>0</v>
      </c>
    </row>
  </sheetData>
  <autoFilter ref="A13:X359">
    <filterColumn colId="1">
      <filters>
        <filter val="пгт Белая Березка, ул Калинина, д. 6"/>
        <filter val="пгт Белая Березка, ул Партизанская, д .6"/>
      </filters>
    </filterColumn>
  </autoFilter>
  <mergeCells count="108">
    <mergeCell ref="M8:V8"/>
    <mergeCell ref="A360:B360"/>
    <mergeCell ref="A285:B285"/>
    <mergeCell ref="A281:V281"/>
    <mergeCell ref="A282:B282"/>
    <mergeCell ref="A341:B341"/>
    <mergeCell ref="A340:V340"/>
    <mergeCell ref="A295:V295"/>
    <mergeCell ref="A296:B296"/>
    <mergeCell ref="A320:B320"/>
    <mergeCell ref="A298:V298"/>
    <mergeCell ref="A302:B302"/>
    <mergeCell ref="A301:V301"/>
    <mergeCell ref="A10:A12"/>
    <mergeCell ref="A225:V225"/>
    <mergeCell ref="A220:B220"/>
    <mergeCell ref="A17:V17"/>
    <mergeCell ref="A176:V176"/>
    <mergeCell ref="A173:B173"/>
    <mergeCell ref="A177:B177"/>
    <mergeCell ref="A185:V185"/>
    <mergeCell ref="A216:V216"/>
    <mergeCell ref="A213:B213"/>
    <mergeCell ref="A206:V206"/>
    <mergeCell ref="A217:B217"/>
    <mergeCell ref="O11:P11"/>
    <mergeCell ref="E10:E11"/>
    <mergeCell ref="A135:B135"/>
    <mergeCell ref="A134:V134"/>
    <mergeCell ref="A146:V146"/>
    <mergeCell ref="A164:V164"/>
    <mergeCell ref="A207:B207"/>
    <mergeCell ref="A212:V212"/>
    <mergeCell ref="A18:B18"/>
    <mergeCell ref="G11:H11"/>
    <mergeCell ref="A203:B203"/>
    <mergeCell ref="A219:V219"/>
    <mergeCell ref="M1:V1"/>
    <mergeCell ref="S10:V10"/>
    <mergeCell ref="I11:L11"/>
    <mergeCell ref="Q11:R11"/>
    <mergeCell ref="O3:V3"/>
    <mergeCell ref="A278:B278"/>
    <mergeCell ref="A249:B249"/>
    <mergeCell ref="A252:V252"/>
    <mergeCell ref="F10:R10"/>
    <mergeCell ref="A256:V256"/>
    <mergeCell ref="B10:B12"/>
    <mergeCell ref="A147:B147"/>
    <mergeCell ref="A243:B243"/>
    <mergeCell ref="A242:V242"/>
    <mergeCell ref="A268:B268"/>
    <mergeCell ref="M11:N11"/>
    <mergeCell ref="A160:B160"/>
    <mergeCell ref="A257:B257"/>
    <mergeCell ref="A260:B260"/>
    <mergeCell ref="A259:V259"/>
    <mergeCell ref="A182:V182"/>
    <mergeCell ref="A159:V159"/>
    <mergeCell ref="A172:V172"/>
    <mergeCell ref="A6:V6"/>
    <mergeCell ref="A165:B165"/>
    <mergeCell ref="A246:B246"/>
    <mergeCell ref="A271:V271"/>
    <mergeCell ref="A272:B272"/>
    <mergeCell ref="A309:V309"/>
    <mergeCell ref="A253:B253"/>
    <mergeCell ref="A245:V245"/>
    <mergeCell ref="A306:B306"/>
    <mergeCell ref="A284:V284"/>
    <mergeCell ref="A267:V267"/>
    <mergeCell ref="A248:V248"/>
    <mergeCell ref="A277:V277"/>
    <mergeCell ref="A288:V288"/>
    <mergeCell ref="A292:B292"/>
    <mergeCell ref="A226:B226"/>
    <mergeCell ref="A183:B183"/>
    <mergeCell ref="A239:B239"/>
    <mergeCell ref="A210:B210"/>
    <mergeCell ref="A209:V209"/>
    <mergeCell ref="A186:B186"/>
    <mergeCell ref="A202:V202"/>
    <mergeCell ref="A238:V238"/>
    <mergeCell ref="A223:B223"/>
    <mergeCell ref="A222:V222"/>
    <mergeCell ref="A14:B14"/>
    <mergeCell ref="A9:V9"/>
    <mergeCell ref="S7:V7"/>
    <mergeCell ref="A15:V15"/>
    <mergeCell ref="A299:B299"/>
    <mergeCell ref="A345:B345"/>
    <mergeCell ref="A344:V344"/>
    <mergeCell ref="A322:V322"/>
    <mergeCell ref="A323:B323"/>
    <mergeCell ref="A325:V325"/>
    <mergeCell ref="A326:B326"/>
    <mergeCell ref="A329:V329"/>
    <mergeCell ref="A336:B336"/>
    <mergeCell ref="A335:V335"/>
    <mergeCell ref="A330:B330"/>
    <mergeCell ref="A316:B316"/>
    <mergeCell ref="A310:B310"/>
    <mergeCell ref="A315:V315"/>
    <mergeCell ref="A319:V319"/>
    <mergeCell ref="A16:B16"/>
    <mergeCell ref="A291:V291"/>
    <mergeCell ref="A289:B289"/>
    <mergeCell ref="A305:V305"/>
  </mergeCells>
  <phoneticPr fontId="0" type="noConversion"/>
  <pageMargins left="0.74803149606299213" right="0.19685039370078741" top="1.0629921259842521" bottom="0.43307086614173229" header="1.1023622047244095" footer="0.19685039370078741"/>
  <pageSetup scale="72" orientation="landscape" r:id="rId1"/>
  <headerFooter alignWithMargins="0">
    <oddFooter>&amp;C&amp;"Arial Narrow,обычный"&amp;7&amp;P</oddFooter>
  </headerFooter>
  <ignoredErrors>
    <ignoredError sqref="L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 filterMode="1">
    <pageSetUpPr fitToPage="1"/>
  </sheetPr>
  <dimension ref="A1:S56"/>
  <sheetViews>
    <sheetView view="pageBreakPreview" topLeftCell="A2" zoomScale="115" zoomScaleNormal="140" zoomScaleSheetLayoutView="115" workbookViewId="0">
      <selection activeCell="H3" sqref="H3:O3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5" max="15" width="11.83203125" hidden="1" customWidth="1"/>
    <col min="19" max="19" width="17.6640625" customWidth="1"/>
  </cols>
  <sheetData>
    <row r="1" spans="1:19" ht="11.25" hidden="1" customHeight="1">
      <c r="A1" s="6"/>
      <c r="B1" s="4"/>
      <c r="D1" s="1"/>
      <c r="E1" s="1"/>
      <c r="F1" s="1"/>
      <c r="G1" s="2"/>
      <c r="H1" s="3"/>
      <c r="I1" s="3"/>
    </row>
    <row r="2" spans="1:19" s="9" customFormat="1" ht="54" customHeight="1">
      <c r="A2" s="19"/>
      <c r="B2" s="19"/>
      <c r="C2" s="313"/>
      <c r="D2" s="313"/>
      <c r="E2" s="313"/>
      <c r="F2" s="313"/>
      <c r="G2" s="313"/>
      <c r="H2" s="311"/>
      <c r="I2" s="313"/>
      <c r="J2" s="311"/>
      <c r="K2" s="580" t="s">
        <v>1167</v>
      </c>
      <c r="L2" s="580"/>
      <c r="M2" s="580"/>
      <c r="N2" s="580"/>
    </row>
    <row r="3" spans="1:19" s="9" customFormat="1" ht="81" customHeight="1">
      <c r="A3" s="19"/>
      <c r="B3" s="19"/>
      <c r="C3" s="313"/>
      <c r="D3" s="313"/>
      <c r="E3" s="313"/>
      <c r="F3" s="313"/>
      <c r="G3" s="313"/>
      <c r="H3" s="580" t="s">
        <v>1168</v>
      </c>
      <c r="I3" s="580"/>
      <c r="J3" s="580"/>
      <c r="K3" s="580"/>
      <c r="L3" s="580"/>
      <c r="M3" s="580"/>
      <c r="N3" s="580"/>
      <c r="O3" s="581"/>
    </row>
    <row r="4" spans="1:19" s="9" customFormat="1" ht="3" hidden="1" customHeight="1">
      <c r="A4" s="19"/>
      <c r="B4" s="19"/>
      <c r="C4" s="20"/>
      <c r="D4" s="313"/>
      <c r="E4" s="313"/>
      <c r="F4" s="313"/>
      <c r="G4" s="313"/>
      <c r="H4" s="582"/>
      <c r="I4" s="582"/>
      <c r="J4" s="582"/>
      <c r="K4" s="582"/>
      <c r="L4" s="582"/>
      <c r="M4" s="582"/>
      <c r="N4" s="582"/>
    </row>
    <row r="5" spans="1:19" s="9" customFormat="1" ht="18" customHeight="1">
      <c r="A5" s="584" t="s">
        <v>1156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</row>
    <row r="6" spans="1:19" s="9" customFormat="1" ht="12.75" customHeight="1">
      <c r="A6" s="585" t="s">
        <v>1030</v>
      </c>
      <c r="B6" s="585" t="s">
        <v>99</v>
      </c>
      <c r="C6" s="593" t="s">
        <v>66</v>
      </c>
      <c r="D6" s="585" t="s">
        <v>64</v>
      </c>
      <c r="E6" s="587" t="s">
        <v>100</v>
      </c>
      <c r="F6" s="588"/>
      <c r="G6" s="588"/>
      <c r="H6" s="588"/>
      <c r="I6" s="589"/>
      <c r="J6" s="590" t="s">
        <v>67</v>
      </c>
      <c r="K6" s="590"/>
      <c r="L6" s="590"/>
      <c r="M6" s="590"/>
      <c r="N6" s="590"/>
    </row>
    <row r="7" spans="1:19" s="9" customFormat="1" ht="93.75" customHeight="1">
      <c r="A7" s="591"/>
      <c r="B7" s="591"/>
      <c r="C7" s="594"/>
      <c r="D7" s="586"/>
      <c r="E7" s="463" t="s">
        <v>101</v>
      </c>
      <c r="F7" s="463" t="s">
        <v>102</v>
      </c>
      <c r="G7" s="463" t="s">
        <v>103</v>
      </c>
      <c r="H7" s="463" t="s">
        <v>104</v>
      </c>
      <c r="I7" s="463" t="s">
        <v>1031</v>
      </c>
      <c r="J7" s="463" t="s">
        <v>101</v>
      </c>
      <c r="K7" s="463" t="s">
        <v>102</v>
      </c>
      <c r="L7" s="463" t="s">
        <v>103</v>
      </c>
      <c r="M7" s="461" t="s">
        <v>104</v>
      </c>
      <c r="N7" s="461" t="s">
        <v>1031</v>
      </c>
    </row>
    <row r="8" spans="1:19" s="9" customFormat="1">
      <c r="A8" s="592"/>
      <c r="B8" s="592"/>
      <c r="C8" s="464" t="s">
        <v>68</v>
      </c>
      <c r="D8" s="463" t="s">
        <v>69</v>
      </c>
      <c r="E8" s="463" t="s">
        <v>98</v>
      </c>
      <c r="F8" s="463" t="s">
        <v>98</v>
      </c>
      <c r="G8" s="463" t="s">
        <v>98</v>
      </c>
      <c r="H8" s="463" t="s">
        <v>98</v>
      </c>
      <c r="I8" s="463" t="s">
        <v>98</v>
      </c>
      <c r="J8" s="463" t="s">
        <v>70</v>
      </c>
      <c r="K8" s="463" t="s">
        <v>70</v>
      </c>
      <c r="L8" s="463" t="s">
        <v>70</v>
      </c>
      <c r="M8" s="461" t="s">
        <v>70</v>
      </c>
      <c r="N8" s="461" t="s">
        <v>70</v>
      </c>
    </row>
    <row r="9" spans="1:19" s="9" customFormat="1" ht="9.75" hidden="1" customHeight="1">
      <c r="A9" s="310">
        <v>1</v>
      </c>
      <c r="B9" s="310">
        <v>2</v>
      </c>
      <c r="C9" s="265">
        <v>3</v>
      </c>
      <c r="D9" s="312">
        <v>4</v>
      </c>
      <c r="E9" s="312">
        <v>5</v>
      </c>
      <c r="F9" s="312">
        <v>6</v>
      </c>
      <c r="G9" s="312">
        <v>7</v>
      </c>
      <c r="H9" s="312">
        <v>8</v>
      </c>
      <c r="I9" s="312">
        <v>9</v>
      </c>
      <c r="J9" s="312">
        <v>10</v>
      </c>
      <c r="K9" s="312">
        <v>11</v>
      </c>
      <c r="L9" s="312">
        <v>12</v>
      </c>
      <c r="M9" s="312">
        <v>13</v>
      </c>
      <c r="N9" s="312">
        <v>14</v>
      </c>
    </row>
    <row r="10" spans="1:19" s="9" customFormat="1" ht="12.75" hidden="1" customHeight="1">
      <c r="A10" s="595" t="s">
        <v>1137</v>
      </c>
      <c r="B10" s="596"/>
      <c r="C10" s="309">
        <f>C11+'Приложение 3 КСП 2018-2019 гг'!C8</f>
        <v>623394.60000000009</v>
      </c>
      <c r="D10" s="265">
        <f>D11+'Приложение 3 КСП 2018-2019 гг'!D8</f>
        <v>23495</v>
      </c>
      <c r="E10" s="28" t="s">
        <v>387</v>
      </c>
      <c r="F10" s="33" t="s">
        <v>387</v>
      </c>
      <c r="G10" s="28" t="s">
        <v>387</v>
      </c>
      <c r="H10" s="33" t="s">
        <v>387</v>
      </c>
      <c r="I10" s="33">
        <f>I11+'Приложение 3 КСП 2018-2019 гг'!E8</f>
        <v>259</v>
      </c>
      <c r="J10" s="330" t="s">
        <v>387</v>
      </c>
      <c r="K10" s="330" t="s">
        <v>387</v>
      </c>
      <c r="L10" s="330" t="s">
        <v>387</v>
      </c>
      <c r="M10" s="330" t="s">
        <v>387</v>
      </c>
      <c r="N10" s="314">
        <f>N11+'Приложение 3 КСП 2018-2019 гг'!F8</f>
        <v>587471488.0599997</v>
      </c>
    </row>
    <row r="11" spans="1:19" s="272" customFormat="1" ht="13.5" hidden="1" customHeight="1">
      <c r="A11" s="583" t="s">
        <v>1034</v>
      </c>
      <c r="B11" s="583"/>
      <c r="C11" s="309">
        <f>SUM(C12:C55)</f>
        <v>621731.20000000007</v>
      </c>
      <c r="D11" s="33">
        <f t="shared" ref="D11:N11" si="0">SUM(D12:D55)</f>
        <v>23413</v>
      </c>
      <c r="E11" s="28">
        <v>0</v>
      </c>
      <c r="F11" s="33">
        <v>0</v>
      </c>
      <c r="G11" s="28">
        <v>0</v>
      </c>
      <c r="H11" s="33">
        <f t="shared" si="0"/>
        <v>255</v>
      </c>
      <c r="I11" s="33">
        <f t="shared" si="0"/>
        <v>255</v>
      </c>
      <c r="J11" s="309">
        <v>0</v>
      </c>
      <c r="K11" s="309">
        <v>0</v>
      </c>
      <c r="L11" s="309">
        <v>0</v>
      </c>
      <c r="M11" s="309">
        <f t="shared" si="0"/>
        <v>582959226.02999973</v>
      </c>
      <c r="N11" s="309">
        <f t="shared" si="0"/>
        <v>582959226.02999973</v>
      </c>
      <c r="O11" s="271"/>
      <c r="S11" s="271">
        <f>N11+'Приложение 3 КСП 2018-2019 гг'!F8</f>
        <v>587471488.0599997</v>
      </c>
    </row>
    <row r="12" spans="1:19" s="9" customFormat="1" hidden="1">
      <c r="A12" s="266">
        <v>1</v>
      </c>
      <c r="B12" s="267" t="s">
        <v>1032</v>
      </c>
      <c r="C12" s="268">
        <f>'Приложение 1'!J131</f>
        <v>402521.65</v>
      </c>
      <c r="D12" s="269">
        <f>'Приложение 1'!M131</f>
        <v>15044</v>
      </c>
      <c r="E12" s="270">
        <v>0</v>
      </c>
      <c r="F12" s="269">
        <v>0</v>
      </c>
      <c r="G12" s="270">
        <v>0</v>
      </c>
      <c r="H12" s="269">
        <v>115</v>
      </c>
      <c r="I12" s="269">
        <f>H12</f>
        <v>115</v>
      </c>
      <c r="J12" s="315">
        <v>0</v>
      </c>
      <c r="K12" s="315">
        <v>0</v>
      </c>
      <c r="L12" s="315">
        <v>0</v>
      </c>
      <c r="M12" s="268">
        <f>'Приложение 1'!N131</f>
        <v>318504274.63999999</v>
      </c>
      <c r="N12" s="268">
        <f>M12</f>
        <v>318504274.63999999</v>
      </c>
    </row>
    <row r="13" spans="1:19" s="9" customFormat="1" hidden="1">
      <c r="A13" s="31">
        <v>2</v>
      </c>
      <c r="B13" s="27" t="s">
        <v>219</v>
      </c>
      <c r="C13" s="32">
        <f>'Приложение 1'!J143</f>
        <v>21140.480000000003</v>
      </c>
      <c r="D13" s="33">
        <f>'Приложение 1'!M143</f>
        <v>915</v>
      </c>
      <c r="E13" s="28">
        <v>0</v>
      </c>
      <c r="F13" s="33">
        <v>0</v>
      </c>
      <c r="G13" s="28">
        <v>0</v>
      </c>
      <c r="H13" s="33">
        <v>10</v>
      </c>
      <c r="I13" s="33">
        <f t="shared" ref="I13:I55" si="1">H13</f>
        <v>10</v>
      </c>
      <c r="J13" s="309">
        <v>0</v>
      </c>
      <c r="K13" s="309">
        <v>0</v>
      </c>
      <c r="L13" s="309">
        <v>0</v>
      </c>
      <c r="M13" s="32">
        <f>'Приложение 1'!N143</f>
        <v>25233089.669999998</v>
      </c>
      <c r="N13" s="32">
        <f t="shared" ref="N13:N55" si="2">M13</f>
        <v>25233089.669999998</v>
      </c>
    </row>
    <row r="14" spans="1:19" s="9" customFormat="1" hidden="1">
      <c r="A14" s="31">
        <v>3</v>
      </c>
      <c r="B14" s="27" t="s">
        <v>229</v>
      </c>
      <c r="C14" s="32">
        <f>'Приложение 1'!J156</f>
        <v>20468.500000000004</v>
      </c>
      <c r="D14" s="33">
        <f>'Приложение 1'!M156</f>
        <v>791</v>
      </c>
      <c r="E14" s="28">
        <v>0</v>
      </c>
      <c r="F14" s="33">
        <v>0</v>
      </c>
      <c r="G14" s="28">
        <v>0</v>
      </c>
      <c r="H14" s="33">
        <v>11</v>
      </c>
      <c r="I14" s="33">
        <f t="shared" si="1"/>
        <v>11</v>
      </c>
      <c r="J14" s="309">
        <v>0</v>
      </c>
      <c r="K14" s="309">
        <v>0</v>
      </c>
      <c r="L14" s="309">
        <v>0</v>
      </c>
      <c r="M14" s="32">
        <f>'Приложение 1'!N156</f>
        <v>15375929.569999998</v>
      </c>
      <c r="N14" s="32">
        <f t="shared" si="2"/>
        <v>15375929.569999998</v>
      </c>
    </row>
    <row r="15" spans="1:19" s="9" customFormat="1" ht="14.25" hidden="1" customHeight="1">
      <c r="A15" s="31">
        <v>4</v>
      </c>
      <c r="B15" s="27" t="s">
        <v>239</v>
      </c>
      <c r="C15" s="32">
        <f>'Приложение 1'!J161</f>
        <v>6238.9</v>
      </c>
      <c r="D15" s="33">
        <f>'Приложение 1'!M161</f>
        <v>267</v>
      </c>
      <c r="E15" s="28">
        <v>0</v>
      </c>
      <c r="F15" s="33">
        <v>0</v>
      </c>
      <c r="G15" s="28">
        <v>0</v>
      </c>
      <c r="H15" s="33">
        <v>3</v>
      </c>
      <c r="I15" s="33">
        <f t="shared" si="1"/>
        <v>3</v>
      </c>
      <c r="J15" s="309">
        <v>0</v>
      </c>
      <c r="K15" s="309">
        <v>0</v>
      </c>
      <c r="L15" s="309">
        <v>0</v>
      </c>
      <c r="M15" s="32">
        <f>'Приложение 1'!N161</f>
        <v>5911432.4600000009</v>
      </c>
      <c r="N15" s="32">
        <f t="shared" si="2"/>
        <v>5911432.4600000009</v>
      </c>
    </row>
    <row r="16" spans="1:19" s="9" customFormat="1" ht="15" hidden="1" customHeight="1">
      <c r="A16" s="31">
        <v>5</v>
      </c>
      <c r="B16" s="27" t="s">
        <v>1033</v>
      </c>
      <c r="C16" s="32">
        <f>'Приложение 1'!J169</f>
        <v>15571.5</v>
      </c>
      <c r="D16" s="33">
        <f>'Приложение 1'!M169</f>
        <v>542</v>
      </c>
      <c r="E16" s="28">
        <v>0</v>
      </c>
      <c r="F16" s="33">
        <v>0</v>
      </c>
      <c r="G16" s="28">
        <v>0</v>
      </c>
      <c r="H16" s="33">
        <v>6</v>
      </c>
      <c r="I16" s="33">
        <f t="shared" si="1"/>
        <v>6</v>
      </c>
      <c r="J16" s="309">
        <v>0</v>
      </c>
      <c r="K16" s="309">
        <v>0</v>
      </c>
      <c r="L16" s="309">
        <v>0</v>
      </c>
      <c r="M16" s="32">
        <f>'Приложение 1'!N169</f>
        <v>12329525.540000001</v>
      </c>
      <c r="N16" s="32">
        <f t="shared" si="2"/>
        <v>12329525.540000001</v>
      </c>
    </row>
    <row r="17" spans="1:14" s="9" customFormat="1" ht="14.25" hidden="1" customHeight="1">
      <c r="A17" s="31">
        <v>6</v>
      </c>
      <c r="B17" s="27" t="s">
        <v>256</v>
      </c>
      <c r="C17" s="32">
        <f>'Приложение 1'!J173</f>
        <v>6195.74</v>
      </c>
      <c r="D17" s="33">
        <f>'Приложение 1'!M173</f>
        <v>222</v>
      </c>
      <c r="E17" s="28">
        <v>0</v>
      </c>
      <c r="F17" s="33">
        <v>0</v>
      </c>
      <c r="G17" s="28">
        <v>0</v>
      </c>
      <c r="H17" s="33">
        <v>2</v>
      </c>
      <c r="I17" s="33">
        <f t="shared" si="1"/>
        <v>2</v>
      </c>
      <c r="J17" s="309">
        <v>0</v>
      </c>
      <c r="K17" s="309">
        <v>0</v>
      </c>
      <c r="L17" s="309">
        <v>0</v>
      </c>
      <c r="M17" s="32">
        <f>'Приложение 1'!N173</f>
        <v>5951684.4000000004</v>
      </c>
      <c r="N17" s="32">
        <f t="shared" si="2"/>
        <v>5951684.4000000004</v>
      </c>
    </row>
    <row r="18" spans="1:14" s="9" customFormat="1" ht="26.25" hidden="1" customHeight="1">
      <c r="A18" s="31">
        <v>7</v>
      </c>
      <c r="B18" s="308" t="s">
        <v>261</v>
      </c>
      <c r="C18" s="32">
        <f>'Приложение 1'!J179</f>
        <v>1662.14</v>
      </c>
      <c r="D18" s="33">
        <f>'Приложение 1'!M179</f>
        <v>66</v>
      </c>
      <c r="E18" s="28">
        <v>0</v>
      </c>
      <c r="F18" s="33">
        <v>0</v>
      </c>
      <c r="G18" s="28">
        <v>0</v>
      </c>
      <c r="H18" s="33">
        <v>4</v>
      </c>
      <c r="I18" s="33">
        <f t="shared" si="1"/>
        <v>4</v>
      </c>
      <c r="J18" s="309">
        <v>0</v>
      </c>
      <c r="K18" s="309">
        <v>0</v>
      </c>
      <c r="L18" s="309">
        <v>0</v>
      </c>
      <c r="M18" s="32">
        <f>'Приложение 1'!N179</f>
        <v>4700387.95</v>
      </c>
      <c r="N18" s="32">
        <f t="shared" si="2"/>
        <v>4700387.95</v>
      </c>
    </row>
    <row r="19" spans="1:14" s="9" customFormat="1" ht="22.5" hidden="1">
      <c r="A19" s="31">
        <v>8</v>
      </c>
      <c r="B19" s="308" t="s">
        <v>436</v>
      </c>
      <c r="C19" s="32">
        <f>'Приложение 1'!J182</f>
        <v>427.5</v>
      </c>
      <c r="D19" s="33">
        <f>'Приложение 1'!M182</f>
        <v>26</v>
      </c>
      <c r="E19" s="28">
        <v>0</v>
      </c>
      <c r="F19" s="33">
        <v>0</v>
      </c>
      <c r="G19" s="28">
        <v>0</v>
      </c>
      <c r="H19" s="33">
        <v>1</v>
      </c>
      <c r="I19" s="33">
        <f t="shared" si="1"/>
        <v>1</v>
      </c>
      <c r="J19" s="309">
        <v>0</v>
      </c>
      <c r="K19" s="309">
        <v>0</v>
      </c>
      <c r="L19" s="309">
        <v>0</v>
      </c>
      <c r="M19" s="32">
        <f>'Приложение 1'!N182</f>
        <v>1376215.27</v>
      </c>
      <c r="N19" s="32">
        <f t="shared" si="2"/>
        <v>1376215.27</v>
      </c>
    </row>
    <row r="20" spans="1:14" s="9" customFormat="1" hidden="1">
      <c r="A20" s="31">
        <v>9</v>
      </c>
      <c r="B20" s="308" t="s">
        <v>391</v>
      </c>
      <c r="C20" s="32">
        <f>'Приложение 1'!J199</f>
        <v>14144.000000000004</v>
      </c>
      <c r="D20" s="33">
        <f>'Приложение 1'!M199</f>
        <v>557</v>
      </c>
      <c r="E20" s="28">
        <v>0</v>
      </c>
      <c r="F20" s="33">
        <v>0</v>
      </c>
      <c r="G20" s="28">
        <v>0</v>
      </c>
      <c r="H20" s="33">
        <v>15</v>
      </c>
      <c r="I20" s="33">
        <f t="shared" si="1"/>
        <v>15</v>
      </c>
      <c r="J20" s="309">
        <v>0</v>
      </c>
      <c r="K20" s="309">
        <v>0</v>
      </c>
      <c r="L20" s="309">
        <v>0</v>
      </c>
      <c r="M20" s="32">
        <f>'Приложение 1'!N199</f>
        <v>23656268.309999995</v>
      </c>
      <c r="N20" s="32">
        <f t="shared" si="2"/>
        <v>23656268.309999995</v>
      </c>
    </row>
    <row r="21" spans="1:14" s="9" customFormat="1" ht="25.5" hidden="1" customHeight="1">
      <c r="A21" s="31">
        <v>10</v>
      </c>
      <c r="B21" s="308" t="s">
        <v>441</v>
      </c>
      <c r="C21" s="32">
        <f>'Приложение 1'!J203</f>
        <v>1642.3000000000002</v>
      </c>
      <c r="D21" s="33">
        <f>'Приложение 1'!M203</f>
        <v>73</v>
      </c>
      <c r="E21" s="28">
        <v>0</v>
      </c>
      <c r="F21" s="33">
        <v>0</v>
      </c>
      <c r="G21" s="28">
        <v>0</v>
      </c>
      <c r="H21" s="33">
        <v>2</v>
      </c>
      <c r="I21" s="33">
        <f t="shared" si="1"/>
        <v>2</v>
      </c>
      <c r="J21" s="309">
        <v>0</v>
      </c>
      <c r="K21" s="309">
        <v>0</v>
      </c>
      <c r="L21" s="309">
        <v>0</v>
      </c>
      <c r="M21" s="32">
        <f>'Приложение 1'!N203</f>
        <v>3710545.95</v>
      </c>
      <c r="N21" s="32">
        <f t="shared" si="2"/>
        <v>3710545.95</v>
      </c>
    </row>
    <row r="22" spans="1:14" s="9" customFormat="1" ht="14.25" hidden="1" customHeight="1">
      <c r="A22" s="31">
        <v>11</v>
      </c>
      <c r="B22" s="308" t="s">
        <v>393</v>
      </c>
      <c r="C22" s="32">
        <f>'Приложение 1'!J206</f>
        <v>828.7</v>
      </c>
      <c r="D22" s="33">
        <f>'Приложение 1'!M206</f>
        <v>65</v>
      </c>
      <c r="E22" s="28">
        <v>0</v>
      </c>
      <c r="F22" s="33">
        <v>0</v>
      </c>
      <c r="G22" s="28">
        <v>0</v>
      </c>
      <c r="H22" s="33">
        <v>1</v>
      </c>
      <c r="I22" s="33">
        <f t="shared" si="1"/>
        <v>1</v>
      </c>
      <c r="J22" s="309">
        <v>0</v>
      </c>
      <c r="K22" s="309">
        <v>0</v>
      </c>
      <c r="L22" s="309">
        <v>0</v>
      </c>
      <c r="M22" s="32">
        <f>'Приложение 1'!N206</f>
        <v>1919938.68</v>
      </c>
      <c r="N22" s="32">
        <f t="shared" si="2"/>
        <v>1919938.68</v>
      </c>
    </row>
    <row r="23" spans="1:14" s="9" customFormat="1" ht="22.5" hidden="1">
      <c r="A23" s="31">
        <v>12</v>
      </c>
      <c r="B23" s="308" t="s">
        <v>438</v>
      </c>
      <c r="C23" s="32">
        <f>'Приложение 1'!J209</f>
        <v>1670.6</v>
      </c>
      <c r="D23" s="33">
        <f>'Приложение 1'!M209</f>
        <v>43</v>
      </c>
      <c r="E23" s="28">
        <v>0</v>
      </c>
      <c r="F23" s="33">
        <v>0</v>
      </c>
      <c r="G23" s="28">
        <v>0</v>
      </c>
      <c r="H23" s="33">
        <v>1</v>
      </c>
      <c r="I23" s="33">
        <f t="shared" si="1"/>
        <v>1</v>
      </c>
      <c r="J23" s="309">
        <v>0</v>
      </c>
      <c r="K23" s="309">
        <v>0</v>
      </c>
      <c r="L23" s="309">
        <v>0</v>
      </c>
      <c r="M23" s="32">
        <f>'Приложение 1'!N209</f>
        <v>2556075.09</v>
      </c>
      <c r="N23" s="32">
        <f t="shared" si="2"/>
        <v>2556075.09</v>
      </c>
    </row>
    <row r="24" spans="1:14" s="9" customFormat="1" ht="22.5" hidden="1">
      <c r="A24" s="31">
        <v>13</v>
      </c>
      <c r="B24" s="308" t="s">
        <v>431</v>
      </c>
      <c r="C24" s="32">
        <f>'Приложение 1'!J213</f>
        <v>1098.0999999999999</v>
      </c>
      <c r="D24" s="33">
        <f>'Приложение 1'!M213</f>
        <v>46</v>
      </c>
      <c r="E24" s="28">
        <v>0</v>
      </c>
      <c r="F24" s="33">
        <v>0</v>
      </c>
      <c r="G24" s="28">
        <v>0</v>
      </c>
      <c r="H24" s="33">
        <v>2</v>
      </c>
      <c r="I24" s="33">
        <f t="shared" si="1"/>
        <v>2</v>
      </c>
      <c r="J24" s="309">
        <v>0</v>
      </c>
      <c r="K24" s="309">
        <v>0</v>
      </c>
      <c r="L24" s="309">
        <v>0</v>
      </c>
      <c r="M24" s="32">
        <f>'Приложение 1'!N213</f>
        <v>3010576.8099999996</v>
      </c>
      <c r="N24" s="32">
        <f t="shared" si="2"/>
        <v>3010576.8099999996</v>
      </c>
    </row>
    <row r="25" spans="1:14" s="9" customFormat="1" ht="22.5" hidden="1">
      <c r="A25" s="31">
        <v>14</v>
      </c>
      <c r="B25" s="308" t="s">
        <v>1070</v>
      </c>
      <c r="C25" s="32">
        <f>'Приложение 1'!J216</f>
        <v>2513.1</v>
      </c>
      <c r="D25" s="33">
        <f>'Приложение 1'!M216</f>
        <v>123</v>
      </c>
      <c r="E25" s="28">
        <v>0</v>
      </c>
      <c r="F25" s="33">
        <v>0</v>
      </c>
      <c r="G25" s="28">
        <v>0</v>
      </c>
      <c r="H25" s="33">
        <v>1</v>
      </c>
      <c r="I25" s="33">
        <f t="shared" si="1"/>
        <v>1</v>
      </c>
      <c r="J25" s="309">
        <v>0</v>
      </c>
      <c r="K25" s="309">
        <v>0</v>
      </c>
      <c r="L25" s="309">
        <v>0</v>
      </c>
      <c r="M25" s="32">
        <f>'Приложение 1'!N216</f>
        <v>1594069.23</v>
      </c>
      <c r="N25" s="32">
        <f t="shared" si="2"/>
        <v>1594069.23</v>
      </c>
    </row>
    <row r="26" spans="1:14" s="9" customFormat="1" ht="22.5" hidden="1">
      <c r="A26" s="31">
        <v>15</v>
      </c>
      <c r="B26" s="308" t="s">
        <v>405</v>
      </c>
      <c r="C26" s="32">
        <f>'Приложение 1'!J219</f>
        <v>419.5</v>
      </c>
      <c r="D26" s="33">
        <f>'Приложение 1'!M219</f>
        <v>21</v>
      </c>
      <c r="E26" s="28">
        <v>0</v>
      </c>
      <c r="F26" s="33">
        <v>0</v>
      </c>
      <c r="G26" s="28">
        <v>0</v>
      </c>
      <c r="H26" s="33">
        <v>1</v>
      </c>
      <c r="I26" s="33">
        <f t="shared" si="1"/>
        <v>1</v>
      </c>
      <c r="J26" s="309">
        <v>0</v>
      </c>
      <c r="K26" s="309">
        <v>0</v>
      </c>
      <c r="L26" s="309">
        <v>0</v>
      </c>
      <c r="M26" s="32">
        <f>'Приложение 1'!N219</f>
        <v>915711.45</v>
      </c>
      <c r="N26" s="32">
        <f t="shared" si="2"/>
        <v>915711.45</v>
      </c>
    </row>
    <row r="27" spans="1:14" s="9" customFormat="1" ht="22.5" hidden="1">
      <c r="A27" s="31">
        <v>16</v>
      </c>
      <c r="B27" s="308" t="s">
        <v>302</v>
      </c>
      <c r="C27" s="32">
        <f>'Приложение 1'!J222</f>
        <v>505.1</v>
      </c>
      <c r="D27" s="33">
        <f>'Приложение 1'!M222</f>
        <v>17</v>
      </c>
      <c r="E27" s="28">
        <v>0</v>
      </c>
      <c r="F27" s="33">
        <v>0</v>
      </c>
      <c r="G27" s="28">
        <v>0</v>
      </c>
      <c r="H27" s="33">
        <v>1</v>
      </c>
      <c r="I27" s="33">
        <f t="shared" si="1"/>
        <v>1</v>
      </c>
      <c r="J27" s="309">
        <v>0</v>
      </c>
      <c r="K27" s="309">
        <v>0</v>
      </c>
      <c r="L27" s="309">
        <v>0</v>
      </c>
      <c r="M27" s="32">
        <f>'Приложение 1'!N222</f>
        <v>1758941.64</v>
      </c>
      <c r="N27" s="32">
        <f t="shared" si="2"/>
        <v>1758941.64</v>
      </c>
    </row>
    <row r="28" spans="1:14" s="9" customFormat="1" ht="22.5" hidden="1">
      <c r="A28" s="31">
        <v>17</v>
      </c>
      <c r="B28" s="308" t="s">
        <v>292</v>
      </c>
      <c r="C28" s="32">
        <f>'Приложение 1'!J235</f>
        <v>30800.379999999997</v>
      </c>
      <c r="D28" s="33">
        <f>'Приложение 1'!M235</f>
        <v>1137</v>
      </c>
      <c r="E28" s="28">
        <v>0</v>
      </c>
      <c r="F28" s="33">
        <v>0</v>
      </c>
      <c r="G28" s="28">
        <v>0</v>
      </c>
      <c r="H28" s="33">
        <v>11</v>
      </c>
      <c r="I28" s="33">
        <f t="shared" si="1"/>
        <v>11</v>
      </c>
      <c r="J28" s="309">
        <v>0</v>
      </c>
      <c r="K28" s="309">
        <v>0</v>
      </c>
      <c r="L28" s="309">
        <v>0</v>
      </c>
      <c r="M28" s="32">
        <f>'Приложение 1'!N235</f>
        <v>23343711.789999999</v>
      </c>
      <c r="N28" s="32">
        <f t="shared" si="2"/>
        <v>23343711.789999999</v>
      </c>
    </row>
    <row r="29" spans="1:14" s="9" customFormat="1" ht="22.5" hidden="1">
      <c r="A29" s="31">
        <v>18</v>
      </c>
      <c r="B29" s="308" t="s">
        <v>293</v>
      </c>
      <c r="C29" s="32">
        <f>'Приложение 1'!J239</f>
        <v>1004.5</v>
      </c>
      <c r="D29" s="33">
        <f>'Приложение 1'!M239</f>
        <v>51</v>
      </c>
      <c r="E29" s="28">
        <v>0</v>
      </c>
      <c r="F29" s="33">
        <v>0</v>
      </c>
      <c r="G29" s="28">
        <v>0</v>
      </c>
      <c r="H29" s="33">
        <v>2</v>
      </c>
      <c r="I29" s="33">
        <f t="shared" si="1"/>
        <v>2</v>
      </c>
      <c r="J29" s="309">
        <v>0</v>
      </c>
      <c r="K29" s="309">
        <v>0</v>
      </c>
      <c r="L29" s="309">
        <v>0</v>
      </c>
      <c r="M29" s="32">
        <f>'Приложение 1'!N239</f>
        <v>2940855.84</v>
      </c>
      <c r="N29" s="32">
        <f t="shared" si="2"/>
        <v>2940855.84</v>
      </c>
    </row>
    <row r="30" spans="1:14" s="9" customFormat="1" ht="22.5" hidden="1">
      <c r="A30" s="31">
        <v>19</v>
      </c>
      <c r="B30" s="308" t="s">
        <v>294</v>
      </c>
      <c r="C30" s="32">
        <f>'Приложение 1'!J242</f>
        <v>1528.8</v>
      </c>
      <c r="D30" s="33">
        <f>'Приложение 1'!M242</f>
        <v>50</v>
      </c>
      <c r="E30" s="28">
        <v>0</v>
      </c>
      <c r="F30" s="33">
        <v>0</v>
      </c>
      <c r="G30" s="28">
        <v>0</v>
      </c>
      <c r="H30" s="33">
        <v>1</v>
      </c>
      <c r="I30" s="33">
        <f t="shared" si="1"/>
        <v>1</v>
      </c>
      <c r="J30" s="309">
        <v>0</v>
      </c>
      <c r="K30" s="309">
        <v>0</v>
      </c>
      <c r="L30" s="309">
        <v>0</v>
      </c>
      <c r="M30" s="32">
        <f>'Приложение 1'!N242</f>
        <v>2023990.89</v>
      </c>
      <c r="N30" s="32">
        <f t="shared" si="2"/>
        <v>2023990.89</v>
      </c>
    </row>
    <row r="31" spans="1:14" s="9" customFormat="1" ht="22.5" hidden="1">
      <c r="A31" s="31">
        <v>20</v>
      </c>
      <c r="B31" s="308" t="s">
        <v>295</v>
      </c>
      <c r="C31" s="32">
        <f>'Приложение 1'!J245</f>
        <v>1779.6</v>
      </c>
      <c r="D31" s="33">
        <f>'Приложение 1'!M245</f>
        <v>21</v>
      </c>
      <c r="E31" s="28">
        <v>0</v>
      </c>
      <c r="F31" s="33">
        <v>0</v>
      </c>
      <c r="G31" s="28">
        <v>0</v>
      </c>
      <c r="H31" s="33">
        <v>1</v>
      </c>
      <c r="I31" s="33">
        <f t="shared" si="1"/>
        <v>1</v>
      </c>
      <c r="J31" s="309">
        <v>0</v>
      </c>
      <c r="K31" s="309">
        <v>0</v>
      </c>
      <c r="L31" s="309">
        <v>0</v>
      </c>
      <c r="M31" s="32">
        <f>'Приложение 1'!N245</f>
        <v>2137661.38</v>
      </c>
      <c r="N31" s="32">
        <f t="shared" si="2"/>
        <v>2137661.38</v>
      </c>
    </row>
    <row r="32" spans="1:14" s="9" customFormat="1" hidden="1">
      <c r="A32" s="31">
        <v>21</v>
      </c>
      <c r="B32" s="308" t="s">
        <v>396</v>
      </c>
      <c r="C32" s="32">
        <f>'Приложение 1'!J249</f>
        <v>1665</v>
      </c>
      <c r="D32" s="33">
        <f>'Приложение 1'!M249</f>
        <v>37</v>
      </c>
      <c r="E32" s="28">
        <v>0</v>
      </c>
      <c r="F32" s="33">
        <v>0</v>
      </c>
      <c r="G32" s="28">
        <v>0</v>
      </c>
      <c r="H32" s="33">
        <v>2</v>
      </c>
      <c r="I32" s="33">
        <f t="shared" si="1"/>
        <v>2</v>
      </c>
      <c r="J32" s="309">
        <v>0</v>
      </c>
      <c r="K32" s="309">
        <v>0</v>
      </c>
      <c r="L32" s="309">
        <v>0</v>
      </c>
      <c r="M32" s="32">
        <f>'Приложение 1'!N249</f>
        <v>3591956.5999999996</v>
      </c>
      <c r="N32" s="32">
        <f t="shared" si="2"/>
        <v>3591956.5999999996</v>
      </c>
    </row>
    <row r="33" spans="1:14" s="9" customFormat="1" ht="22.5" hidden="1">
      <c r="A33" s="31">
        <v>22</v>
      </c>
      <c r="B33" s="308" t="s">
        <v>327</v>
      </c>
      <c r="C33" s="32">
        <f>'Приложение 1'!J253</f>
        <v>10079.700000000001</v>
      </c>
      <c r="D33" s="33">
        <f>'Приложение 1'!M253</f>
        <v>308</v>
      </c>
      <c r="E33" s="28">
        <v>0</v>
      </c>
      <c r="F33" s="33">
        <v>0</v>
      </c>
      <c r="G33" s="28">
        <v>0</v>
      </c>
      <c r="H33" s="33">
        <v>2</v>
      </c>
      <c r="I33" s="33">
        <f t="shared" si="1"/>
        <v>2</v>
      </c>
      <c r="J33" s="309">
        <v>0</v>
      </c>
      <c r="K33" s="309">
        <v>0</v>
      </c>
      <c r="L33" s="309">
        <v>0</v>
      </c>
      <c r="M33" s="32">
        <f>'Приложение 1'!N253</f>
        <v>6597086.1400000006</v>
      </c>
      <c r="N33" s="32">
        <f t="shared" si="2"/>
        <v>6597086.1400000006</v>
      </c>
    </row>
    <row r="34" spans="1:14" s="9" customFormat="1" ht="22.5" hidden="1">
      <c r="A34" s="31">
        <v>23</v>
      </c>
      <c r="B34" s="308" t="s">
        <v>401</v>
      </c>
      <c r="C34" s="32">
        <f>'Приложение 1'!J256</f>
        <v>1003.5</v>
      </c>
      <c r="D34" s="33">
        <f>'Приложение 1'!M256</f>
        <v>32</v>
      </c>
      <c r="E34" s="28">
        <v>0</v>
      </c>
      <c r="F34" s="33">
        <v>0</v>
      </c>
      <c r="G34" s="28">
        <v>0</v>
      </c>
      <c r="H34" s="33">
        <v>1</v>
      </c>
      <c r="I34" s="33">
        <f t="shared" si="1"/>
        <v>1</v>
      </c>
      <c r="J34" s="309">
        <v>0</v>
      </c>
      <c r="K34" s="309">
        <v>0</v>
      </c>
      <c r="L34" s="309">
        <v>0</v>
      </c>
      <c r="M34" s="32">
        <f>'Приложение 1'!N256</f>
        <v>2050199.17</v>
      </c>
      <c r="N34" s="32">
        <f t="shared" si="2"/>
        <v>2050199.17</v>
      </c>
    </row>
    <row r="35" spans="1:14" s="9" customFormat="1" hidden="1">
      <c r="A35" s="31">
        <v>24</v>
      </c>
      <c r="B35" s="308" t="s">
        <v>423</v>
      </c>
      <c r="C35" s="32">
        <f>'Приложение 1'!J264</f>
        <v>17664.399999999998</v>
      </c>
      <c r="D35" s="33">
        <f>'Приложение 1'!M264</f>
        <v>668</v>
      </c>
      <c r="E35" s="28">
        <v>0</v>
      </c>
      <c r="F35" s="33">
        <v>0</v>
      </c>
      <c r="G35" s="28">
        <v>0</v>
      </c>
      <c r="H35" s="33">
        <v>6</v>
      </c>
      <c r="I35" s="33">
        <f t="shared" si="1"/>
        <v>6</v>
      </c>
      <c r="J35" s="309">
        <v>0</v>
      </c>
      <c r="K35" s="309">
        <v>0</v>
      </c>
      <c r="L35" s="309">
        <v>0</v>
      </c>
      <c r="M35" s="32">
        <f>'Приложение 1'!N264</f>
        <v>17308788.909999996</v>
      </c>
      <c r="N35" s="32">
        <f t="shared" si="2"/>
        <v>17308788.909999996</v>
      </c>
    </row>
    <row r="36" spans="1:14" s="9" customFormat="1" ht="22.5" hidden="1">
      <c r="A36" s="31">
        <v>25</v>
      </c>
      <c r="B36" s="308" t="s">
        <v>338</v>
      </c>
      <c r="C36" s="32">
        <f>'Приложение 1'!J268</f>
        <v>753.59999999999991</v>
      </c>
      <c r="D36" s="33">
        <f>'Приложение 1'!M268</f>
        <v>24</v>
      </c>
      <c r="E36" s="28">
        <v>0</v>
      </c>
      <c r="F36" s="33">
        <v>0</v>
      </c>
      <c r="G36" s="28">
        <v>0</v>
      </c>
      <c r="H36" s="33">
        <v>2</v>
      </c>
      <c r="I36" s="33">
        <f t="shared" si="1"/>
        <v>2</v>
      </c>
      <c r="J36" s="309">
        <v>0</v>
      </c>
      <c r="K36" s="309">
        <v>0</v>
      </c>
      <c r="L36" s="309">
        <v>0</v>
      </c>
      <c r="M36" s="32">
        <f>'Приложение 1'!N268</f>
        <v>2592742.1</v>
      </c>
      <c r="N36" s="32">
        <f t="shared" si="2"/>
        <v>2592742.1</v>
      </c>
    </row>
    <row r="37" spans="1:14" s="9" customFormat="1" ht="22.5" hidden="1">
      <c r="A37" s="31">
        <v>26</v>
      </c>
      <c r="B37" s="308" t="s">
        <v>1035</v>
      </c>
      <c r="C37" s="32">
        <f>'Приложение 1'!J274</f>
        <v>2814.7999999999997</v>
      </c>
      <c r="D37" s="33">
        <f>'Приложение 1'!M274</f>
        <v>86</v>
      </c>
      <c r="E37" s="28">
        <v>0</v>
      </c>
      <c r="F37" s="33">
        <v>0</v>
      </c>
      <c r="G37" s="28">
        <v>0</v>
      </c>
      <c r="H37" s="33">
        <v>4</v>
      </c>
      <c r="I37" s="33">
        <f t="shared" si="1"/>
        <v>4</v>
      </c>
      <c r="J37" s="309">
        <v>0</v>
      </c>
      <c r="K37" s="309">
        <v>0</v>
      </c>
      <c r="L37" s="309">
        <v>0</v>
      </c>
      <c r="M37" s="32">
        <f>'Приложение 1'!N274</f>
        <v>6877592.8399999999</v>
      </c>
      <c r="N37" s="32">
        <f t="shared" si="2"/>
        <v>6877592.8399999999</v>
      </c>
    </row>
    <row r="38" spans="1:14" s="9" customFormat="1" hidden="1">
      <c r="A38" s="31">
        <v>27</v>
      </c>
      <c r="B38" s="308" t="s">
        <v>421</v>
      </c>
      <c r="C38" s="32">
        <f>'Приложение 1'!J278</f>
        <v>784.1</v>
      </c>
      <c r="D38" s="33">
        <f>'Приложение 1'!M278</f>
        <v>28</v>
      </c>
      <c r="E38" s="28">
        <v>0</v>
      </c>
      <c r="F38" s="33">
        <v>0</v>
      </c>
      <c r="G38" s="28">
        <v>0</v>
      </c>
      <c r="H38" s="33">
        <v>2</v>
      </c>
      <c r="I38" s="33">
        <f t="shared" si="1"/>
        <v>2</v>
      </c>
      <c r="J38" s="309">
        <v>0</v>
      </c>
      <c r="K38" s="309">
        <v>0</v>
      </c>
      <c r="L38" s="309">
        <v>0</v>
      </c>
      <c r="M38" s="32">
        <f>'Приложение 1'!N278</f>
        <v>2813785.03</v>
      </c>
      <c r="N38" s="32">
        <f t="shared" si="2"/>
        <v>2813785.03</v>
      </c>
    </row>
    <row r="39" spans="1:14" s="9" customFormat="1" hidden="1">
      <c r="A39" s="31">
        <v>28</v>
      </c>
      <c r="B39" s="308" t="s">
        <v>349</v>
      </c>
      <c r="C39" s="32">
        <f>'Приложение 1'!J281</f>
        <v>1071.7</v>
      </c>
      <c r="D39" s="33">
        <f>'Приложение 1'!M281</f>
        <v>34</v>
      </c>
      <c r="E39" s="28">
        <v>0</v>
      </c>
      <c r="F39" s="33">
        <v>0</v>
      </c>
      <c r="G39" s="28">
        <v>0</v>
      </c>
      <c r="H39" s="33">
        <v>1</v>
      </c>
      <c r="I39" s="33">
        <f t="shared" si="1"/>
        <v>1</v>
      </c>
      <c r="J39" s="309">
        <v>0</v>
      </c>
      <c r="K39" s="309">
        <v>0</v>
      </c>
      <c r="L39" s="309">
        <v>0</v>
      </c>
      <c r="M39" s="32">
        <f>'Приложение 1'!N281</f>
        <v>3249893.6</v>
      </c>
      <c r="N39" s="32">
        <f t="shared" si="2"/>
        <v>3249893.6</v>
      </c>
    </row>
    <row r="40" spans="1:14" s="9" customFormat="1" ht="22.5" hidden="1">
      <c r="A40" s="31">
        <v>29</v>
      </c>
      <c r="B40" s="308" t="s">
        <v>429</v>
      </c>
      <c r="C40" s="32">
        <f>'Приложение 1'!J285</f>
        <v>2334.9</v>
      </c>
      <c r="D40" s="33">
        <f>'Приложение 1'!M285</f>
        <v>59</v>
      </c>
      <c r="E40" s="28">
        <v>0</v>
      </c>
      <c r="F40" s="33">
        <v>0</v>
      </c>
      <c r="G40" s="28">
        <v>0</v>
      </c>
      <c r="H40" s="33">
        <v>2</v>
      </c>
      <c r="I40" s="33">
        <f t="shared" si="1"/>
        <v>2</v>
      </c>
      <c r="J40" s="309">
        <v>0</v>
      </c>
      <c r="K40" s="309">
        <v>0</v>
      </c>
      <c r="L40" s="309">
        <v>0</v>
      </c>
      <c r="M40" s="32">
        <f>'Приложение 1'!N285</f>
        <v>689299.28</v>
      </c>
      <c r="N40" s="32">
        <f t="shared" si="2"/>
        <v>689299.28</v>
      </c>
    </row>
    <row r="41" spans="1:14" s="9" customFormat="1" hidden="1">
      <c r="A41" s="31">
        <v>30</v>
      </c>
      <c r="B41" s="308" t="s">
        <v>1058</v>
      </c>
      <c r="C41" s="32">
        <f>'Приложение 1'!J288</f>
        <v>478.5</v>
      </c>
      <c r="D41" s="33">
        <f>'Приложение 1'!M288</f>
        <v>13</v>
      </c>
      <c r="E41" s="28">
        <v>0</v>
      </c>
      <c r="F41" s="33">
        <v>0</v>
      </c>
      <c r="G41" s="28">
        <v>0</v>
      </c>
      <c r="H41" s="33">
        <v>1</v>
      </c>
      <c r="I41" s="33">
        <f t="shared" si="1"/>
        <v>1</v>
      </c>
      <c r="J41" s="309">
        <v>0</v>
      </c>
      <c r="K41" s="309">
        <v>0</v>
      </c>
      <c r="L41" s="309">
        <v>0</v>
      </c>
      <c r="M41" s="32">
        <f>'Приложение 1'!N288</f>
        <v>1059478.07</v>
      </c>
      <c r="N41" s="32">
        <f t="shared" si="2"/>
        <v>1059478.07</v>
      </c>
    </row>
    <row r="42" spans="1:14" s="9" customFormat="1" ht="22.5" hidden="1">
      <c r="A42" s="31">
        <v>31</v>
      </c>
      <c r="B42" s="308" t="s">
        <v>358</v>
      </c>
      <c r="C42" s="32">
        <f>'Приложение 1'!J292</f>
        <v>5593.3</v>
      </c>
      <c r="D42" s="33">
        <f>'Приложение 1'!M292</f>
        <v>193</v>
      </c>
      <c r="E42" s="28">
        <v>0</v>
      </c>
      <c r="F42" s="33">
        <v>0</v>
      </c>
      <c r="G42" s="28">
        <v>0</v>
      </c>
      <c r="H42" s="33">
        <v>2</v>
      </c>
      <c r="I42" s="33">
        <f t="shared" si="1"/>
        <v>2</v>
      </c>
      <c r="J42" s="309">
        <v>0</v>
      </c>
      <c r="K42" s="309">
        <v>0</v>
      </c>
      <c r="L42" s="309">
        <v>0</v>
      </c>
      <c r="M42" s="32">
        <f>'Приложение 1'!N292</f>
        <v>6658276.4199999999</v>
      </c>
      <c r="N42" s="32">
        <f t="shared" si="2"/>
        <v>6658276.4199999999</v>
      </c>
    </row>
    <row r="43" spans="1:14" s="9" customFormat="1" hidden="1">
      <c r="A43" s="31">
        <v>32</v>
      </c>
      <c r="B43" s="308" t="s">
        <v>427</v>
      </c>
      <c r="C43" s="32">
        <f>'Приложение 1'!J295</f>
        <v>407.5</v>
      </c>
      <c r="D43" s="33">
        <f>'Приложение 1'!M295</f>
        <v>23</v>
      </c>
      <c r="E43" s="28">
        <v>0</v>
      </c>
      <c r="F43" s="33">
        <v>0</v>
      </c>
      <c r="G43" s="28">
        <v>0</v>
      </c>
      <c r="H43" s="33">
        <v>1</v>
      </c>
      <c r="I43" s="33">
        <f t="shared" si="1"/>
        <v>1</v>
      </c>
      <c r="J43" s="309">
        <v>0</v>
      </c>
      <c r="K43" s="309">
        <v>0</v>
      </c>
      <c r="L43" s="309">
        <v>0</v>
      </c>
      <c r="M43" s="32">
        <f>'Приложение 1'!N295</f>
        <v>1056204.45</v>
      </c>
      <c r="N43" s="32">
        <f t="shared" si="2"/>
        <v>1056204.45</v>
      </c>
    </row>
    <row r="44" spans="1:14" s="9" customFormat="1" ht="22.5" hidden="1">
      <c r="A44" s="31">
        <v>33</v>
      </c>
      <c r="B44" s="308" t="s">
        <v>398</v>
      </c>
      <c r="C44" s="32">
        <f>'Приложение 1'!J298</f>
        <v>658.1</v>
      </c>
      <c r="D44" s="33">
        <f>'Приложение 1'!M298</f>
        <v>17</v>
      </c>
      <c r="E44" s="28">
        <v>0</v>
      </c>
      <c r="F44" s="33">
        <v>0</v>
      </c>
      <c r="G44" s="28">
        <v>0</v>
      </c>
      <c r="H44" s="33">
        <v>1</v>
      </c>
      <c r="I44" s="33">
        <f t="shared" si="1"/>
        <v>1</v>
      </c>
      <c r="J44" s="309">
        <v>0</v>
      </c>
      <c r="K44" s="309">
        <v>0</v>
      </c>
      <c r="L44" s="309">
        <v>0</v>
      </c>
      <c r="M44" s="32">
        <f>'Приложение 1'!N298</f>
        <v>1645051.71</v>
      </c>
      <c r="N44" s="32">
        <f t="shared" si="2"/>
        <v>1645051.71</v>
      </c>
    </row>
    <row r="45" spans="1:14" s="9" customFormat="1" hidden="1">
      <c r="A45" s="31">
        <v>34</v>
      </c>
      <c r="B45" s="308" t="s">
        <v>2</v>
      </c>
      <c r="C45" s="32">
        <f>'Приложение 1'!J302</f>
        <v>1852.42</v>
      </c>
      <c r="D45" s="33">
        <f>'Приложение 1'!M302</f>
        <v>53</v>
      </c>
      <c r="E45" s="28">
        <v>0</v>
      </c>
      <c r="F45" s="33">
        <v>0</v>
      </c>
      <c r="G45" s="28">
        <v>0</v>
      </c>
      <c r="H45" s="33">
        <v>2</v>
      </c>
      <c r="I45" s="33">
        <f t="shared" si="1"/>
        <v>2</v>
      </c>
      <c r="J45" s="309">
        <v>0</v>
      </c>
      <c r="K45" s="309">
        <v>0</v>
      </c>
      <c r="L45" s="309">
        <v>0</v>
      </c>
      <c r="M45" s="32">
        <f>'Приложение 1'!N302</f>
        <v>2823117.67</v>
      </c>
      <c r="N45" s="32">
        <f t="shared" si="2"/>
        <v>2823117.67</v>
      </c>
    </row>
    <row r="46" spans="1:14" s="9" customFormat="1" hidden="1">
      <c r="A46" s="31">
        <v>35</v>
      </c>
      <c r="B46" s="308" t="s">
        <v>8</v>
      </c>
      <c r="C46" s="32">
        <f>'Приложение 1'!J306</f>
        <v>1158.4000000000001</v>
      </c>
      <c r="D46" s="33">
        <f>'Приложение 1'!M306</f>
        <v>45</v>
      </c>
      <c r="E46" s="28">
        <v>0</v>
      </c>
      <c r="F46" s="33">
        <v>0</v>
      </c>
      <c r="G46" s="28">
        <v>0</v>
      </c>
      <c r="H46" s="33">
        <v>2</v>
      </c>
      <c r="I46" s="33">
        <f t="shared" si="1"/>
        <v>2</v>
      </c>
      <c r="J46" s="309">
        <v>0</v>
      </c>
      <c r="K46" s="309">
        <v>0</v>
      </c>
      <c r="L46" s="309">
        <v>0</v>
      </c>
      <c r="M46" s="32">
        <f>'Приложение 1'!N306</f>
        <v>2263711.2000000002</v>
      </c>
      <c r="N46" s="32">
        <f t="shared" si="2"/>
        <v>2263711.2000000002</v>
      </c>
    </row>
    <row r="47" spans="1:14" s="9" customFormat="1" ht="22.5" hidden="1">
      <c r="A47" s="31">
        <v>36</v>
      </c>
      <c r="B47" s="308" t="s">
        <v>10</v>
      </c>
      <c r="C47" s="32">
        <f>'Приложение 1'!J312</f>
        <v>2321.6</v>
      </c>
      <c r="D47" s="33">
        <f>'Приложение 1'!M312</f>
        <v>86</v>
      </c>
      <c r="E47" s="28">
        <v>0</v>
      </c>
      <c r="F47" s="33">
        <v>0</v>
      </c>
      <c r="G47" s="28">
        <v>0</v>
      </c>
      <c r="H47" s="33">
        <v>4</v>
      </c>
      <c r="I47" s="33">
        <f t="shared" si="1"/>
        <v>4</v>
      </c>
      <c r="J47" s="309">
        <v>0</v>
      </c>
      <c r="K47" s="309">
        <v>0</v>
      </c>
      <c r="L47" s="309">
        <v>0</v>
      </c>
      <c r="M47" s="32">
        <f>'Приложение 1'!N312</f>
        <v>4428149.97</v>
      </c>
      <c r="N47" s="32">
        <f t="shared" si="2"/>
        <v>4428149.97</v>
      </c>
    </row>
    <row r="48" spans="1:14" s="9" customFormat="1" ht="22.5" hidden="1">
      <c r="A48" s="31">
        <v>37</v>
      </c>
      <c r="B48" s="308" t="s">
        <v>388</v>
      </c>
      <c r="C48" s="32">
        <f>'Приложение 1'!J316</f>
        <v>1960</v>
      </c>
      <c r="D48" s="33">
        <f>'Приложение 1'!M316</f>
        <v>71</v>
      </c>
      <c r="E48" s="28">
        <v>0</v>
      </c>
      <c r="F48" s="33">
        <v>0</v>
      </c>
      <c r="G48" s="28">
        <v>0</v>
      </c>
      <c r="H48" s="33">
        <v>2</v>
      </c>
      <c r="I48" s="33">
        <f t="shared" si="1"/>
        <v>2</v>
      </c>
      <c r="J48" s="309">
        <v>0</v>
      </c>
      <c r="K48" s="309">
        <v>0</v>
      </c>
      <c r="L48" s="309">
        <v>0</v>
      </c>
      <c r="M48" s="32">
        <f>'Приложение 1'!N316</f>
        <v>5054598.5600000005</v>
      </c>
      <c r="N48" s="32">
        <f t="shared" si="2"/>
        <v>5054598.5600000005</v>
      </c>
    </row>
    <row r="49" spans="1:14" s="9" customFormat="1" hidden="1">
      <c r="A49" s="31">
        <v>38</v>
      </c>
      <c r="B49" s="308" t="s">
        <v>1056</v>
      </c>
      <c r="C49" s="32">
        <f>'Приложение 1'!J319</f>
        <v>800.6</v>
      </c>
      <c r="D49" s="33">
        <f>'Приложение 1'!M319</f>
        <v>37</v>
      </c>
      <c r="E49" s="28">
        <v>0</v>
      </c>
      <c r="F49" s="33">
        <v>0</v>
      </c>
      <c r="G49" s="28">
        <v>0</v>
      </c>
      <c r="H49" s="33">
        <v>1</v>
      </c>
      <c r="I49" s="33">
        <f t="shared" si="1"/>
        <v>1</v>
      </c>
      <c r="J49" s="309">
        <v>0</v>
      </c>
      <c r="K49" s="309">
        <v>0</v>
      </c>
      <c r="L49" s="309">
        <v>0</v>
      </c>
      <c r="M49" s="32">
        <f>'Приложение 1'!N319</f>
        <v>551093.68000000005</v>
      </c>
      <c r="N49" s="32">
        <f t="shared" si="2"/>
        <v>551093.68000000005</v>
      </c>
    </row>
    <row r="50" spans="1:14" s="9" customFormat="1" ht="23.25" hidden="1" customHeight="1">
      <c r="A50" s="31">
        <v>39</v>
      </c>
      <c r="B50" s="308" t="s">
        <v>433</v>
      </c>
      <c r="C50" s="32">
        <f>'Приложение 1'!J322</f>
        <v>936</v>
      </c>
      <c r="D50" s="33">
        <f>'Приложение 1'!M322</f>
        <v>55</v>
      </c>
      <c r="E50" s="28">
        <v>0</v>
      </c>
      <c r="F50" s="33">
        <v>0</v>
      </c>
      <c r="G50" s="28">
        <v>0</v>
      </c>
      <c r="H50" s="33">
        <v>1</v>
      </c>
      <c r="I50" s="33">
        <f t="shared" si="1"/>
        <v>1</v>
      </c>
      <c r="J50" s="309">
        <v>0</v>
      </c>
      <c r="K50" s="309">
        <v>0</v>
      </c>
      <c r="L50" s="309">
        <v>0</v>
      </c>
      <c r="M50" s="32">
        <f>'Приложение 1'!N322</f>
        <v>3606258</v>
      </c>
      <c r="N50" s="32">
        <f t="shared" si="2"/>
        <v>3606258</v>
      </c>
    </row>
    <row r="51" spans="1:14" s="9" customFormat="1" ht="23.25" hidden="1" customHeight="1">
      <c r="A51" s="31">
        <v>40</v>
      </c>
      <c r="B51" s="308" t="s">
        <v>425</v>
      </c>
      <c r="C51" s="32">
        <f>'Приложение 1'!J326</f>
        <v>1077.3</v>
      </c>
      <c r="D51" s="33">
        <f>'Приложение 1'!M326</f>
        <v>25</v>
      </c>
      <c r="E51" s="28">
        <v>0</v>
      </c>
      <c r="F51" s="33">
        <v>0</v>
      </c>
      <c r="G51" s="28">
        <v>0</v>
      </c>
      <c r="H51" s="33">
        <v>2</v>
      </c>
      <c r="I51" s="33">
        <f t="shared" si="1"/>
        <v>2</v>
      </c>
      <c r="J51" s="309">
        <v>0</v>
      </c>
      <c r="K51" s="309">
        <v>0</v>
      </c>
      <c r="L51" s="309">
        <v>0</v>
      </c>
      <c r="M51" s="32">
        <f>'Приложение 1'!N326</f>
        <v>2901974.3200000003</v>
      </c>
      <c r="N51" s="32">
        <f t="shared" si="2"/>
        <v>2901974.3200000003</v>
      </c>
    </row>
    <row r="52" spans="1:14" s="9" customFormat="1" ht="23.25" hidden="1" customHeight="1">
      <c r="A52" s="31">
        <v>41</v>
      </c>
      <c r="B52" s="308" t="s">
        <v>28</v>
      </c>
      <c r="C52" s="32">
        <f>'Приложение 1'!J332</f>
        <v>1586.3</v>
      </c>
      <c r="D52" s="33">
        <f>'Приложение 1'!M332</f>
        <v>50</v>
      </c>
      <c r="E52" s="28">
        <v>0</v>
      </c>
      <c r="F52" s="33">
        <v>0</v>
      </c>
      <c r="G52" s="28">
        <v>0</v>
      </c>
      <c r="H52" s="33">
        <v>4</v>
      </c>
      <c r="I52" s="33">
        <f t="shared" si="1"/>
        <v>4</v>
      </c>
      <c r="J52" s="309">
        <v>0</v>
      </c>
      <c r="K52" s="309">
        <v>0</v>
      </c>
      <c r="L52" s="309">
        <v>0</v>
      </c>
      <c r="M52" s="32">
        <f>'Приложение 1'!N332</f>
        <v>4401818.74</v>
      </c>
      <c r="N52" s="32">
        <f t="shared" si="2"/>
        <v>4401818.74</v>
      </c>
    </row>
    <row r="53" spans="1:14" s="9" customFormat="1" ht="23.25" hidden="1" customHeight="1">
      <c r="A53" s="31">
        <v>42</v>
      </c>
      <c r="B53" s="308" t="s">
        <v>34</v>
      </c>
      <c r="C53" s="32">
        <f>'Приложение 1'!J337</f>
        <v>8741.18</v>
      </c>
      <c r="D53" s="33">
        <f>'Приложение 1'!M337</f>
        <v>302</v>
      </c>
      <c r="E53" s="28">
        <v>0</v>
      </c>
      <c r="F53" s="33">
        <v>0</v>
      </c>
      <c r="G53" s="28">
        <v>0</v>
      </c>
      <c r="H53" s="33">
        <v>3</v>
      </c>
      <c r="I53" s="33">
        <f t="shared" si="1"/>
        <v>3</v>
      </c>
      <c r="J53" s="309">
        <v>0</v>
      </c>
      <c r="K53" s="309">
        <v>0</v>
      </c>
      <c r="L53" s="309">
        <v>0</v>
      </c>
      <c r="M53" s="32">
        <f>'Приложение 1'!N337</f>
        <v>10278321.41</v>
      </c>
      <c r="N53" s="32">
        <f t="shared" si="2"/>
        <v>10278321.41</v>
      </c>
    </row>
    <row r="54" spans="1:14" s="9" customFormat="1" ht="29.25" customHeight="1">
      <c r="A54" s="468">
        <v>1</v>
      </c>
      <c r="B54" s="469" t="s">
        <v>39</v>
      </c>
      <c r="C54" s="470">
        <f>'Приложение 1'!J341</f>
        <v>2114.48</v>
      </c>
      <c r="D54" s="471">
        <f>'Приложение 1'!M341</f>
        <v>79</v>
      </c>
      <c r="E54" s="472">
        <v>0</v>
      </c>
      <c r="F54" s="471">
        <v>0</v>
      </c>
      <c r="G54" s="472">
        <v>0</v>
      </c>
      <c r="H54" s="471">
        <v>2</v>
      </c>
      <c r="I54" s="471">
        <f t="shared" si="1"/>
        <v>2</v>
      </c>
      <c r="J54" s="473">
        <v>0</v>
      </c>
      <c r="K54" s="473">
        <v>0</v>
      </c>
      <c r="L54" s="473">
        <v>0</v>
      </c>
      <c r="M54" s="470">
        <f>'Приложение 1'!N341</f>
        <v>4074185.05</v>
      </c>
      <c r="N54" s="470">
        <f t="shared" si="2"/>
        <v>4074185.05</v>
      </c>
    </row>
    <row r="55" spans="1:14" s="9" customFormat="1" ht="24.75" hidden="1" customHeight="1">
      <c r="A55" s="31">
        <v>44</v>
      </c>
      <c r="B55" s="308" t="s">
        <v>44</v>
      </c>
      <c r="C55" s="32">
        <f>'Приложение 1'!J357</f>
        <v>21712.73</v>
      </c>
      <c r="D55" s="33">
        <f>'Приложение 1'!M357</f>
        <v>1011</v>
      </c>
      <c r="E55" s="28">
        <v>0</v>
      </c>
      <c r="F55" s="33">
        <v>0</v>
      </c>
      <c r="G55" s="28">
        <v>0</v>
      </c>
      <c r="H55" s="33">
        <v>14</v>
      </c>
      <c r="I55" s="33">
        <f t="shared" si="1"/>
        <v>14</v>
      </c>
      <c r="J55" s="309">
        <v>0</v>
      </c>
      <c r="K55" s="309">
        <v>0</v>
      </c>
      <c r="L55" s="309">
        <v>0</v>
      </c>
      <c r="M55" s="32">
        <f>'Приложение 1'!N357</f>
        <v>27434756.550000001</v>
      </c>
      <c r="N55" s="32">
        <f t="shared" si="2"/>
        <v>27434756.550000001</v>
      </c>
    </row>
    <row r="56" spans="1:14">
      <c r="A56" s="578" t="s">
        <v>1166</v>
      </c>
      <c r="B56" s="579"/>
      <c r="C56" s="474">
        <f>C54</f>
        <v>2114.48</v>
      </c>
      <c r="D56" s="475">
        <f>D54</f>
        <v>79</v>
      </c>
      <c r="E56" s="472">
        <v>0</v>
      </c>
      <c r="F56" s="471">
        <v>0</v>
      </c>
      <c r="G56" s="472">
        <v>0</v>
      </c>
      <c r="H56" s="471">
        <v>2</v>
      </c>
      <c r="I56" s="471">
        <f t="shared" ref="I56" si="3">H56</f>
        <v>2</v>
      </c>
      <c r="J56" s="473">
        <v>0</v>
      </c>
      <c r="K56" s="473">
        <v>0</v>
      </c>
      <c r="L56" s="473">
        <v>0</v>
      </c>
      <c r="M56" s="470">
        <f>'Приложение 1'!N343</f>
        <v>1720751.65</v>
      </c>
      <c r="N56" s="470">
        <f t="shared" ref="N56" si="4">M56</f>
        <v>1720751.65</v>
      </c>
    </row>
  </sheetData>
  <autoFilter ref="A8:S55">
    <filterColumn colId="1">
      <filters>
        <filter val="Муниципальное образование  &quot;Белоберезковское городское поселение&quot; Трубчевского муниципального района"/>
      </filters>
    </filterColumn>
  </autoFilter>
  <mergeCells count="13">
    <mergeCell ref="A56:B56"/>
    <mergeCell ref="K2:N2"/>
    <mergeCell ref="H3:O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0.86614173228346458" bottom="0.43307086614173229" header="1.1023622047244095" footer="0.19685039370078741"/>
  <pageSetup scale="81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693"/>
  <sheetViews>
    <sheetView topLeftCell="A4" zoomScale="93" zoomScaleNormal="93" zoomScaleSheetLayoutView="115" workbookViewId="0">
      <selection activeCell="G694" sqref="G694"/>
    </sheetView>
  </sheetViews>
  <sheetFormatPr defaultRowHeight="27.75" customHeight="1"/>
  <cols>
    <col min="1" max="1" width="5.83203125" style="19" customWidth="1"/>
    <col min="2" max="2" width="38.83203125" style="155" customWidth="1"/>
    <col min="3" max="3" width="10" style="152" customWidth="1"/>
    <col min="4" max="4" width="8.6640625" style="155" customWidth="1"/>
    <col min="5" max="5" width="7" style="30" customWidth="1"/>
    <col min="6" max="6" width="11.83203125" style="30" customWidth="1"/>
    <col min="7" max="8" width="3.83203125" style="30" customWidth="1"/>
    <col min="9" max="9" width="11.33203125" style="20" customWidth="1"/>
    <col min="10" max="10" width="10.5" style="20" customWidth="1"/>
    <col min="11" max="11" width="7.1640625" style="154" customWidth="1"/>
    <col min="12" max="12" width="14.83203125" style="153" customWidth="1"/>
    <col min="13" max="13" width="9.83203125" style="153" customWidth="1"/>
    <col min="14" max="14" width="9.6640625" style="153" customWidth="1"/>
    <col min="15" max="15" width="8.83203125" style="153" customWidth="1"/>
    <col min="16" max="16" width="12.5" style="153" customWidth="1"/>
    <col min="17" max="17" width="11.6640625" style="153" customWidth="1"/>
    <col min="18" max="18" width="7.1640625" style="153" customWidth="1"/>
    <col min="19" max="19" width="9.83203125" style="152" customWidth="1"/>
    <col min="20" max="21" width="9.33203125" style="161"/>
    <col min="22" max="16384" width="9.33203125" style="19"/>
  </cols>
  <sheetData>
    <row r="1" spans="1:21" ht="51.75" customHeight="1">
      <c r="E1" s="433"/>
      <c r="F1" s="433"/>
      <c r="G1" s="433"/>
      <c r="H1" s="433"/>
      <c r="P1" s="597" t="s">
        <v>1169</v>
      </c>
      <c r="Q1" s="597"/>
      <c r="R1" s="597"/>
      <c r="S1" s="597"/>
    </row>
    <row r="2" spans="1:21" ht="71.25" customHeight="1">
      <c r="E2" s="444"/>
      <c r="F2" s="444"/>
      <c r="G2" s="444"/>
      <c r="H2" s="444"/>
      <c r="L2" s="610"/>
      <c r="M2" s="610"/>
      <c r="N2" s="610"/>
      <c r="O2" s="610"/>
      <c r="P2" s="610"/>
      <c r="Q2" s="610"/>
      <c r="R2" s="610"/>
      <c r="S2" s="610"/>
    </row>
    <row r="3" spans="1:21" ht="24.75" customHeight="1">
      <c r="A3" s="157"/>
      <c r="B3" s="598" t="s">
        <v>1160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157"/>
      <c r="R3" s="157"/>
      <c r="S3" s="157"/>
    </row>
    <row r="4" spans="1:21" ht="15.75" customHeight="1">
      <c r="A4" s="590" t="s">
        <v>1030</v>
      </c>
      <c r="B4" s="590" t="s">
        <v>65</v>
      </c>
      <c r="C4" s="603" t="s">
        <v>1107</v>
      </c>
      <c r="D4" s="602" t="s">
        <v>1106</v>
      </c>
      <c r="E4" s="602" t="s">
        <v>1105</v>
      </c>
      <c r="F4" s="602" t="s">
        <v>377</v>
      </c>
      <c r="G4" s="602" t="s">
        <v>378</v>
      </c>
      <c r="H4" s="602" t="s">
        <v>379</v>
      </c>
      <c r="I4" s="604" t="s">
        <v>66</v>
      </c>
      <c r="J4" s="604" t="s">
        <v>1104</v>
      </c>
      <c r="K4" s="605" t="s">
        <v>381</v>
      </c>
      <c r="L4" s="601" t="s">
        <v>67</v>
      </c>
      <c r="M4" s="601"/>
      <c r="N4" s="601"/>
      <c r="O4" s="601"/>
      <c r="P4" s="601"/>
      <c r="Q4" s="601"/>
      <c r="R4" s="601"/>
      <c r="S4" s="603" t="s">
        <v>384</v>
      </c>
    </row>
    <row r="5" spans="1:21" ht="18.75" customHeight="1">
      <c r="A5" s="590"/>
      <c r="B5" s="590"/>
      <c r="C5" s="603"/>
      <c r="D5" s="602"/>
      <c r="E5" s="602"/>
      <c r="F5" s="602"/>
      <c r="G5" s="602"/>
      <c r="H5" s="602"/>
      <c r="I5" s="604"/>
      <c r="J5" s="604"/>
      <c r="K5" s="605"/>
      <c r="L5" s="600" t="s">
        <v>458</v>
      </c>
      <c r="M5" s="601" t="s">
        <v>468</v>
      </c>
      <c r="N5" s="601"/>
      <c r="O5" s="601"/>
      <c r="P5" s="601"/>
      <c r="Q5" s="601"/>
      <c r="R5" s="601"/>
      <c r="S5" s="603"/>
    </row>
    <row r="6" spans="1:21" ht="96.75" customHeight="1">
      <c r="A6" s="590"/>
      <c r="B6" s="590"/>
      <c r="C6" s="603"/>
      <c r="D6" s="602"/>
      <c r="E6" s="602"/>
      <c r="F6" s="602"/>
      <c r="G6" s="602"/>
      <c r="H6" s="602"/>
      <c r="I6" s="604"/>
      <c r="J6" s="604"/>
      <c r="K6" s="605"/>
      <c r="L6" s="600"/>
      <c r="M6" s="600" t="s">
        <v>1103</v>
      </c>
      <c r="N6" s="600" t="s">
        <v>466</v>
      </c>
      <c r="O6" s="600" t="s">
        <v>467</v>
      </c>
      <c r="P6" s="600" t="s">
        <v>469</v>
      </c>
      <c r="Q6" s="600"/>
      <c r="R6" s="600" t="s">
        <v>1102</v>
      </c>
      <c r="S6" s="603"/>
    </row>
    <row r="7" spans="1:21" ht="101.25" customHeight="1">
      <c r="A7" s="590"/>
      <c r="B7" s="590"/>
      <c r="C7" s="603"/>
      <c r="D7" s="602"/>
      <c r="E7" s="602"/>
      <c r="F7" s="602"/>
      <c r="G7" s="602"/>
      <c r="H7" s="602"/>
      <c r="I7" s="604"/>
      <c r="J7" s="604"/>
      <c r="K7" s="605"/>
      <c r="L7" s="600"/>
      <c r="M7" s="600"/>
      <c r="N7" s="600"/>
      <c r="O7" s="600"/>
      <c r="P7" s="476" t="s">
        <v>1101</v>
      </c>
      <c r="Q7" s="476" t="s">
        <v>1100</v>
      </c>
      <c r="R7" s="600"/>
      <c r="S7" s="603"/>
    </row>
    <row r="8" spans="1:21" ht="15" customHeight="1">
      <c r="A8" s="590"/>
      <c r="B8" s="590"/>
      <c r="C8" s="603"/>
      <c r="D8" s="602"/>
      <c r="E8" s="602"/>
      <c r="F8" s="602"/>
      <c r="G8" s="602"/>
      <c r="H8" s="602"/>
      <c r="I8" s="464" t="s">
        <v>68</v>
      </c>
      <c r="J8" s="464" t="s">
        <v>68</v>
      </c>
      <c r="K8" s="477" t="s">
        <v>69</v>
      </c>
      <c r="L8" s="461" t="s">
        <v>70</v>
      </c>
      <c r="M8" s="461" t="s">
        <v>70</v>
      </c>
      <c r="N8" s="461" t="s">
        <v>70</v>
      </c>
      <c r="O8" s="461" t="s">
        <v>70</v>
      </c>
      <c r="P8" s="461" t="s">
        <v>70</v>
      </c>
      <c r="Q8" s="461" t="s">
        <v>70</v>
      </c>
      <c r="R8" s="461" t="s">
        <v>70</v>
      </c>
      <c r="S8" s="603"/>
    </row>
    <row r="9" spans="1:21" ht="12" customHeight="1">
      <c r="A9" s="477">
        <v>1</v>
      </c>
      <c r="B9" s="477">
        <v>2</v>
      </c>
      <c r="C9" s="478">
        <v>3</v>
      </c>
      <c r="D9" s="477">
        <v>4</v>
      </c>
      <c r="E9" s="477">
        <v>5</v>
      </c>
      <c r="F9" s="477">
        <v>6</v>
      </c>
      <c r="G9" s="477">
        <v>7</v>
      </c>
      <c r="H9" s="477">
        <v>8</v>
      </c>
      <c r="I9" s="477">
        <v>9</v>
      </c>
      <c r="J9" s="477">
        <v>10</v>
      </c>
      <c r="K9" s="477">
        <v>11</v>
      </c>
      <c r="L9" s="477">
        <v>12</v>
      </c>
      <c r="M9" s="477">
        <v>13</v>
      </c>
      <c r="N9" s="477">
        <v>14</v>
      </c>
      <c r="O9" s="477">
        <v>15</v>
      </c>
      <c r="P9" s="477">
        <v>16</v>
      </c>
      <c r="Q9" s="477">
        <v>17</v>
      </c>
      <c r="R9" s="477">
        <v>18</v>
      </c>
      <c r="S9" s="477">
        <v>19</v>
      </c>
    </row>
    <row r="10" spans="1:21" ht="12" hidden="1" customHeight="1">
      <c r="A10" s="503" t="s">
        <v>1122</v>
      </c>
      <c r="B10" s="503"/>
      <c r="C10" s="212"/>
      <c r="D10" s="156"/>
      <c r="E10" s="54" t="s">
        <v>387</v>
      </c>
      <c r="F10" s="54" t="s">
        <v>387</v>
      </c>
      <c r="G10" s="54" t="s">
        <v>387</v>
      </c>
      <c r="H10" s="54" t="s">
        <v>387</v>
      </c>
      <c r="I10" s="255">
        <f>I12+I357</f>
        <v>1622527.2699999996</v>
      </c>
      <c r="J10" s="255">
        <f>J12+J357</f>
        <v>1380416.74</v>
      </c>
      <c r="K10" s="8">
        <f>K12+K357</f>
        <v>58590</v>
      </c>
      <c r="L10" s="255">
        <f>L12+L357</f>
        <v>1594784851.4571505</v>
      </c>
      <c r="M10" s="255">
        <f>M12+M357</f>
        <v>0</v>
      </c>
      <c r="N10" s="255">
        <f>N12+N357</f>
        <v>0</v>
      </c>
      <c r="O10" s="255">
        <f>O12+O357</f>
        <v>200000</v>
      </c>
      <c r="P10" s="255">
        <f>P12+P357</f>
        <v>1594584851.4571505</v>
      </c>
      <c r="Q10" s="255">
        <f>Q12+Q357</f>
        <v>0</v>
      </c>
      <c r="R10" s="255">
        <f>R12+R357</f>
        <v>0</v>
      </c>
      <c r="S10" s="156"/>
    </row>
    <row r="11" spans="1:21" ht="10.5" hidden="1" customHeight="1">
      <c r="A11" s="502" t="s">
        <v>1037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</row>
    <row r="12" spans="1:21" ht="11.25" hidden="1" customHeight="1">
      <c r="A12" s="503" t="s">
        <v>1017</v>
      </c>
      <c r="B12" s="503"/>
      <c r="C12" s="46"/>
      <c r="D12" s="142" t="s">
        <v>1016</v>
      </c>
      <c r="E12" s="54" t="s">
        <v>387</v>
      </c>
      <c r="F12" s="54" t="s">
        <v>387</v>
      </c>
      <c r="G12" s="54" t="s">
        <v>387</v>
      </c>
      <c r="H12" s="54" t="s">
        <v>387</v>
      </c>
      <c r="I12" s="225">
        <f>I159+I168+I183+I188+I197+I202+I208+I225+I229+I233+I236+I239+I242+I245+I258+I261+I264+I270+I273+I281+I286+I289+I292+I297+I300+I304+I308+I312+I317+I320+I323+I326+I331+I340+I343+I355</f>
        <v>807461.71999999986</v>
      </c>
      <c r="J12" s="225">
        <f>J159+J168+J183+J188+J197+J202+J208+J225+J229+J233+J236+J239+J242+J245+J258+J261+J264+J270+J273+J281+J286+J289+J292+J297+J300+J304+J308+J312+J317+J320+J323+J326+J331+J340+J343+J355</f>
        <v>686883.85999999987</v>
      </c>
      <c r="K12" s="47">
        <f>K159+K168+K183+K188+K197+K202+K208+K225+K229+K233+K236+K239+K242+K245+K258+K261+K264+K270+K273+K281+K286+K289+K292+K297+K300+K304+K308+K312+K317+K320+K323+K326+K331+K340+K343+K355</f>
        <v>27915</v>
      </c>
      <c r="L12" s="225">
        <f>L159+L168+L183+L188+L197+L202+L208+L225+L229+L233+L236+L239+L242+L245+L258+L261+L264+L270+L273+L281+L286+L289+L292+L297+L300+L304+L308+L312+L317+L320+L323+L326+L331+L340+L343+L355</f>
        <v>806921981.60715044</v>
      </c>
      <c r="M12" s="225">
        <f>M159+M168+M183+M188+M197+M202+M208+M225+M229+M233+M236+M239+M242+M245+M258+M261+M264+M270+M273+M281+M286+M289+M292+M297+M300+M304+M308+M312+M317+M320+M323+M326+M331+M340+M343+M355</f>
        <v>0</v>
      </c>
      <c r="N12" s="225">
        <f>N159+N168+N183+N188+N197+N202+N208+N225+N229+N233+N236+N239+N242+N245+N258+N261+N264+N270+N273+N281+N286+N289+N292+N297+N300+N304+N308+N312+N317+N320+N323+N326+N331+N340+N343+N355</f>
        <v>0</v>
      </c>
      <c r="O12" s="225">
        <f>O159+O168+O183+O188+O197+O202+O208+O225+O229+O233+O236+O239+O242+O245+O258+O261+O264+O270+O273+O281+O286+O289+O292+O297+O300+O304+O308+O312+O317+O320+O323+O326+O331+O340+O343+O355</f>
        <v>200000</v>
      </c>
      <c r="P12" s="225">
        <f>P159+P168+P183+P188+P197+P202+P208+P225+P229+P233+P236+P239+P242+P245+P258+P261+P264+P270+P273+P281+P286+P289+P292+P297+P300+P304+P308+P312+P317+P320+P323+P326+P331+P340+P343+P355</f>
        <v>806721981.60715044</v>
      </c>
      <c r="Q12" s="225">
        <f>Q159+Q168+Q183+Q188+Q197+Q202+Q208+Q225+Q229+Q233+Q236+Q239+Q242+Q245+Q258+Q261+Q264+Q270+Q273+Q281+Q286+Q289+Q292+Q297+Q300+Q304+Q308+Q312+Q317+Q320+Q323+Q326+Q331+Q340+Q343+Q355</f>
        <v>0</v>
      </c>
      <c r="R12" s="225">
        <f>R159+R168+R183+R188+R197+R202+R208+R225+R229+R233+R236+R239+R242+R245+R258+R261+R264+R270+R273+R281+R286+R289+R292+R297+R300+R304+R308+R312+R317+R320+R323+R326+R331+R340+R343+R355</f>
        <v>0</v>
      </c>
      <c r="S12" s="144"/>
      <c r="T12" s="41"/>
      <c r="U12" s="42"/>
    </row>
    <row r="13" spans="1:21" ht="9" hidden="1" customHeight="1">
      <c r="A13" s="502" t="s">
        <v>215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162"/>
      <c r="U13" s="162"/>
    </row>
    <row r="14" spans="1:21" ht="9" hidden="1" customHeight="1">
      <c r="A14" s="145">
        <v>1</v>
      </c>
      <c r="B14" s="112" t="s">
        <v>472</v>
      </c>
      <c r="C14" s="211" t="s">
        <v>1126</v>
      </c>
      <c r="D14" s="113" t="s">
        <v>1125</v>
      </c>
      <c r="E14" s="114">
        <v>1966</v>
      </c>
      <c r="F14" s="115" t="s">
        <v>87</v>
      </c>
      <c r="G14" s="115">
        <v>3</v>
      </c>
      <c r="H14" s="116">
        <v>4</v>
      </c>
      <c r="I14" s="117">
        <v>1605.85</v>
      </c>
      <c r="J14" s="117">
        <v>1337.92</v>
      </c>
      <c r="K14" s="321">
        <v>57</v>
      </c>
      <c r="L14" s="117">
        <f>'Приложение 2 КСП 2018-2019 гг'!G16</f>
        <v>3455169.91</v>
      </c>
      <c r="M14" s="144">
        <v>0</v>
      </c>
      <c r="N14" s="144">
        <v>0</v>
      </c>
      <c r="O14" s="144">
        <v>0</v>
      </c>
      <c r="P14" s="144">
        <f>L14</f>
        <v>3455169.91</v>
      </c>
      <c r="Q14" s="144">
        <v>0</v>
      </c>
      <c r="R14" s="144">
        <v>0</v>
      </c>
      <c r="S14" s="144" t="s">
        <v>585</v>
      </c>
      <c r="T14" s="41"/>
      <c r="U14" s="42"/>
    </row>
    <row r="15" spans="1:21" ht="9" hidden="1" customHeight="1">
      <c r="A15" s="145">
        <v>2</v>
      </c>
      <c r="B15" s="112" t="s">
        <v>473</v>
      </c>
      <c r="C15" s="211" t="s">
        <v>1126</v>
      </c>
      <c r="D15" s="113" t="s">
        <v>1125</v>
      </c>
      <c r="E15" s="114">
        <v>1977</v>
      </c>
      <c r="F15" s="115" t="s">
        <v>89</v>
      </c>
      <c r="G15" s="115">
        <v>5</v>
      </c>
      <c r="H15" s="116">
        <v>4</v>
      </c>
      <c r="I15" s="117">
        <v>3650.6</v>
      </c>
      <c r="J15" s="117">
        <v>3113.8</v>
      </c>
      <c r="K15" s="321">
        <v>158</v>
      </c>
      <c r="L15" s="117">
        <f>'Приложение 2 КСП 2018-2019 гг'!G17</f>
        <v>2547741.41</v>
      </c>
      <c r="M15" s="144">
        <v>0</v>
      </c>
      <c r="N15" s="144">
        <v>0</v>
      </c>
      <c r="O15" s="144">
        <v>0</v>
      </c>
      <c r="P15" s="230">
        <f>L15</f>
        <v>2547741.41</v>
      </c>
      <c r="Q15" s="144">
        <v>0</v>
      </c>
      <c r="R15" s="144">
        <v>0</v>
      </c>
      <c r="S15" s="144" t="s">
        <v>585</v>
      </c>
      <c r="T15" s="41"/>
      <c r="U15" s="42"/>
    </row>
    <row r="16" spans="1:21" ht="9" hidden="1" customHeight="1">
      <c r="A16" s="339">
        <v>3</v>
      </c>
      <c r="B16" s="112" t="s">
        <v>474</v>
      </c>
      <c r="C16" s="211" t="s">
        <v>1126</v>
      </c>
      <c r="D16" s="113" t="s">
        <v>1125</v>
      </c>
      <c r="E16" s="114">
        <v>1977</v>
      </c>
      <c r="F16" s="115" t="s">
        <v>89</v>
      </c>
      <c r="G16" s="115">
        <v>5</v>
      </c>
      <c r="H16" s="116">
        <v>4</v>
      </c>
      <c r="I16" s="117">
        <v>3638.2</v>
      </c>
      <c r="J16" s="117">
        <v>3103.7</v>
      </c>
      <c r="K16" s="321">
        <v>161</v>
      </c>
      <c r="L16" s="117">
        <f>'Приложение 2 КСП 2018-2019 гг'!G18</f>
        <v>2547741.41</v>
      </c>
      <c r="M16" s="144">
        <v>0</v>
      </c>
      <c r="N16" s="144">
        <v>0</v>
      </c>
      <c r="O16" s="230">
        <v>0</v>
      </c>
      <c r="P16" s="230">
        <f t="shared" ref="P16:P79" si="0">L16</f>
        <v>2547741.41</v>
      </c>
      <c r="Q16" s="144">
        <v>0</v>
      </c>
      <c r="R16" s="144">
        <v>0</v>
      </c>
      <c r="S16" s="144" t="s">
        <v>585</v>
      </c>
      <c r="T16" s="41"/>
      <c r="U16" s="42"/>
    </row>
    <row r="17" spans="1:21" ht="9" hidden="1" customHeight="1">
      <c r="A17" s="339">
        <v>4</v>
      </c>
      <c r="B17" s="112" t="s">
        <v>475</v>
      </c>
      <c r="C17" s="211" t="s">
        <v>1126</v>
      </c>
      <c r="D17" s="113" t="s">
        <v>1125</v>
      </c>
      <c r="E17" s="114">
        <v>1977</v>
      </c>
      <c r="F17" s="115" t="s">
        <v>89</v>
      </c>
      <c r="G17" s="115">
        <v>5</v>
      </c>
      <c r="H17" s="116">
        <v>4</v>
      </c>
      <c r="I17" s="117">
        <v>3667.4</v>
      </c>
      <c r="J17" s="117">
        <v>3133</v>
      </c>
      <c r="K17" s="321">
        <v>148</v>
      </c>
      <c r="L17" s="117">
        <f>'Приложение 2 КСП 2018-2019 гг'!G19</f>
        <v>2547741.41</v>
      </c>
      <c r="M17" s="144">
        <v>0</v>
      </c>
      <c r="N17" s="144">
        <v>0</v>
      </c>
      <c r="O17" s="230">
        <v>0</v>
      </c>
      <c r="P17" s="230">
        <f t="shared" si="0"/>
        <v>2547741.41</v>
      </c>
      <c r="Q17" s="144">
        <v>0</v>
      </c>
      <c r="R17" s="144">
        <v>0</v>
      </c>
      <c r="S17" s="144" t="s">
        <v>585</v>
      </c>
      <c r="T17" s="41"/>
      <c r="U17" s="42"/>
    </row>
    <row r="18" spans="1:21" ht="9" hidden="1" customHeight="1">
      <c r="A18" s="339">
        <v>5</v>
      </c>
      <c r="B18" s="112" t="s">
        <v>476</v>
      </c>
      <c r="C18" s="211" t="s">
        <v>1126</v>
      </c>
      <c r="D18" s="113" t="s">
        <v>1125</v>
      </c>
      <c r="E18" s="114">
        <v>1977</v>
      </c>
      <c r="F18" s="115" t="s">
        <v>89</v>
      </c>
      <c r="G18" s="115">
        <v>5</v>
      </c>
      <c r="H18" s="116">
        <v>4</v>
      </c>
      <c r="I18" s="117">
        <v>3663.7</v>
      </c>
      <c r="J18" s="117">
        <v>3234.4</v>
      </c>
      <c r="K18" s="321">
        <v>169</v>
      </c>
      <c r="L18" s="117">
        <f>'Приложение 2 КСП 2018-2019 гг'!G20</f>
        <v>2547741.41</v>
      </c>
      <c r="M18" s="144">
        <v>0</v>
      </c>
      <c r="N18" s="144">
        <v>0</v>
      </c>
      <c r="O18" s="230">
        <v>0</v>
      </c>
      <c r="P18" s="230">
        <f t="shared" si="0"/>
        <v>2547741.41</v>
      </c>
      <c r="Q18" s="144">
        <v>0</v>
      </c>
      <c r="R18" s="144">
        <v>0</v>
      </c>
      <c r="S18" s="144" t="s">
        <v>585</v>
      </c>
      <c r="T18" s="41"/>
      <c r="U18" s="42"/>
    </row>
    <row r="19" spans="1:21" ht="9" hidden="1" customHeight="1">
      <c r="A19" s="339">
        <v>6</v>
      </c>
      <c r="B19" s="112" t="s">
        <v>477</v>
      </c>
      <c r="C19" s="211" t="s">
        <v>1126</v>
      </c>
      <c r="D19" s="113" t="s">
        <v>1125</v>
      </c>
      <c r="E19" s="114">
        <v>1989</v>
      </c>
      <c r="F19" s="115" t="s">
        <v>89</v>
      </c>
      <c r="G19" s="115">
        <v>5</v>
      </c>
      <c r="H19" s="116">
        <v>4</v>
      </c>
      <c r="I19" s="117">
        <v>3222.9</v>
      </c>
      <c r="J19" s="117">
        <v>2881.9</v>
      </c>
      <c r="K19" s="321">
        <v>124</v>
      </c>
      <c r="L19" s="117">
        <f>'Приложение 2 КСП 2018-2019 гг'!G21</f>
        <v>2289383.73</v>
      </c>
      <c r="M19" s="144">
        <v>0</v>
      </c>
      <c r="N19" s="144">
        <v>0</v>
      </c>
      <c r="O19" s="230">
        <v>0</v>
      </c>
      <c r="P19" s="230">
        <f t="shared" si="0"/>
        <v>2289383.73</v>
      </c>
      <c r="Q19" s="144">
        <v>0</v>
      </c>
      <c r="R19" s="144">
        <v>0</v>
      </c>
      <c r="S19" s="144" t="s">
        <v>585</v>
      </c>
      <c r="T19" s="41"/>
      <c r="U19" s="42"/>
    </row>
    <row r="20" spans="1:21" ht="9" hidden="1" customHeight="1">
      <c r="A20" s="339">
        <v>7</v>
      </c>
      <c r="B20" s="112" t="s">
        <v>478</v>
      </c>
      <c r="C20" s="211" t="s">
        <v>1126</v>
      </c>
      <c r="D20" s="113" t="s">
        <v>1125</v>
      </c>
      <c r="E20" s="114">
        <v>1987</v>
      </c>
      <c r="F20" s="115" t="s">
        <v>1135</v>
      </c>
      <c r="G20" s="115">
        <v>5</v>
      </c>
      <c r="H20" s="116">
        <v>2</v>
      </c>
      <c r="I20" s="117">
        <v>2505.6</v>
      </c>
      <c r="J20" s="117">
        <v>2377.6</v>
      </c>
      <c r="K20" s="321">
        <v>166</v>
      </c>
      <c r="L20" s="117">
        <f>'Приложение 2 КСП 2018-2019 гг'!G22</f>
        <v>2408960.15</v>
      </c>
      <c r="M20" s="144">
        <v>0</v>
      </c>
      <c r="N20" s="144">
        <v>0</v>
      </c>
      <c r="O20" s="230">
        <v>0</v>
      </c>
      <c r="P20" s="230">
        <f t="shared" si="0"/>
        <v>2408960.15</v>
      </c>
      <c r="Q20" s="144">
        <v>0</v>
      </c>
      <c r="R20" s="144">
        <v>0</v>
      </c>
      <c r="S20" s="144" t="s">
        <v>585</v>
      </c>
      <c r="T20" s="41"/>
      <c r="U20" s="42"/>
    </row>
    <row r="21" spans="1:21" ht="9" hidden="1" customHeight="1">
      <c r="A21" s="339">
        <v>8</v>
      </c>
      <c r="B21" s="112" t="s">
        <v>479</v>
      </c>
      <c r="C21" s="211" t="s">
        <v>1126</v>
      </c>
      <c r="D21" s="113" t="s">
        <v>1125</v>
      </c>
      <c r="E21" s="114">
        <v>1964</v>
      </c>
      <c r="F21" s="115" t="s">
        <v>87</v>
      </c>
      <c r="G21" s="115">
        <v>5</v>
      </c>
      <c r="H21" s="116">
        <v>3</v>
      </c>
      <c r="I21" s="117">
        <v>2741.4</v>
      </c>
      <c r="J21" s="117">
        <v>2525.73</v>
      </c>
      <c r="K21" s="321">
        <v>105</v>
      </c>
      <c r="L21" s="117">
        <f>'Приложение 2 КСП 2018-2019 гг'!G23</f>
        <v>2777288.78</v>
      </c>
      <c r="M21" s="144">
        <v>0</v>
      </c>
      <c r="N21" s="144">
        <v>0</v>
      </c>
      <c r="O21" s="230">
        <v>0</v>
      </c>
      <c r="P21" s="230">
        <f t="shared" si="0"/>
        <v>2777288.78</v>
      </c>
      <c r="Q21" s="144">
        <v>0</v>
      </c>
      <c r="R21" s="144">
        <v>0</v>
      </c>
      <c r="S21" s="144" t="s">
        <v>585</v>
      </c>
      <c r="T21" s="41"/>
      <c r="U21" s="42"/>
    </row>
    <row r="22" spans="1:21" ht="9" hidden="1" customHeight="1">
      <c r="A22" s="339">
        <v>9</v>
      </c>
      <c r="B22" s="112" t="s">
        <v>480</v>
      </c>
      <c r="C22" s="211" t="s">
        <v>1126</v>
      </c>
      <c r="D22" s="113" t="s">
        <v>1125</v>
      </c>
      <c r="E22" s="114">
        <v>1977</v>
      </c>
      <c r="F22" s="115" t="s">
        <v>87</v>
      </c>
      <c r="G22" s="115">
        <v>10</v>
      </c>
      <c r="H22" s="116">
        <v>1</v>
      </c>
      <c r="I22" s="117">
        <v>3485.9</v>
      </c>
      <c r="J22" s="117">
        <v>3098.8</v>
      </c>
      <c r="K22" s="321">
        <v>105</v>
      </c>
      <c r="L22" s="117">
        <f>'Приложение 2 КСП 2018-2019 гг'!G24</f>
        <v>1152232.3500000001</v>
      </c>
      <c r="M22" s="144">
        <v>0</v>
      </c>
      <c r="N22" s="144">
        <v>0</v>
      </c>
      <c r="O22" s="230">
        <v>0</v>
      </c>
      <c r="P22" s="230">
        <f t="shared" si="0"/>
        <v>1152232.3500000001</v>
      </c>
      <c r="Q22" s="144">
        <v>0</v>
      </c>
      <c r="R22" s="144">
        <v>0</v>
      </c>
      <c r="S22" s="144" t="s">
        <v>585</v>
      </c>
      <c r="T22" s="41"/>
      <c r="U22" s="42"/>
    </row>
    <row r="23" spans="1:21" ht="9" hidden="1" customHeight="1">
      <c r="A23" s="339">
        <v>10</v>
      </c>
      <c r="B23" s="112" t="s">
        <v>481</v>
      </c>
      <c r="C23" s="211" t="s">
        <v>1126</v>
      </c>
      <c r="D23" s="113" t="s">
        <v>1125</v>
      </c>
      <c r="E23" s="114">
        <v>1964</v>
      </c>
      <c r="F23" s="115" t="s">
        <v>87</v>
      </c>
      <c r="G23" s="115">
        <v>5</v>
      </c>
      <c r="H23" s="116">
        <v>2</v>
      </c>
      <c r="I23" s="117">
        <v>1563.6</v>
      </c>
      <c r="J23" s="117">
        <v>1410.6</v>
      </c>
      <c r="K23" s="321">
        <v>56</v>
      </c>
      <c r="L23" s="117">
        <f>'Приложение 2 КСП 2018-2019 гг'!G25</f>
        <v>2087489.92</v>
      </c>
      <c r="M23" s="144">
        <v>0</v>
      </c>
      <c r="N23" s="144">
        <v>0</v>
      </c>
      <c r="O23" s="230">
        <v>0</v>
      </c>
      <c r="P23" s="230">
        <f t="shared" si="0"/>
        <v>2087489.92</v>
      </c>
      <c r="Q23" s="144">
        <v>0</v>
      </c>
      <c r="R23" s="144">
        <v>0</v>
      </c>
      <c r="S23" s="144" t="s">
        <v>585</v>
      </c>
      <c r="T23" s="41"/>
      <c r="U23" s="42"/>
    </row>
    <row r="24" spans="1:21" ht="9" hidden="1" customHeight="1">
      <c r="A24" s="339">
        <v>11</v>
      </c>
      <c r="B24" s="112" t="s">
        <v>482</v>
      </c>
      <c r="C24" s="211" t="s">
        <v>1126</v>
      </c>
      <c r="D24" s="113" t="s">
        <v>1125</v>
      </c>
      <c r="E24" s="114">
        <v>1965</v>
      </c>
      <c r="F24" s="115" t="s">
        <v>87</v>
      </c>
      <c r="G24" s="115">
        <v>5</v>
      </c>
      <c r="H24" s="116">
        <v>4</v>
      </c>
      <c r="I24" s="117">
        <v>3417.1</v>
      </c>
      <c r="J24" s="117">
        <v>2579.1</v>
      </c>
      <c r="K24" s="321">
        <v>144</v>
      </c>
      <c r="L24" s="117">
        <f>'Приложение 2 КСП 2018-2019 гг'!G26</f>
        <v>3970280.14</v>
      </c>
      <c r="M24" s="144">
        <v>0</v>
      </c>
      <c r="N24" s="144">
        <v>0</v>
      </c>
      <c r="O24" s="230">
        <v>0</v>
      </c>
      <c r="P24" s="230">
        <f t="shared" si="0"/>
        <v>3970280.14</v>
      </c>
      <c r="Q24" s="144">
        <v>0</v>
      </c>
      <c r="R24" s="144">
        <v>0</v>
      </c>
      <c r="S24" s="144" t="s">
        <v>585</v>
      </c>
      <c r="T24" s="41"/>
      <c r="U24" s="42"/>
    </row>
    <row r="25" spans="1:21" ht="9" hidden="1" customHeight="1">
      <c r="A25" s="339">
        <v>12</v>
      </c>
      <c r="B25" s="112" t="s">
        <v>483</v>
      </c>
      <c r="C25" s="211" t="s">
        <v>1126</v>
      </c>
      <c r="D25" s="113" t="s">
        <v>1125</v>
      </c>
      <c r="E25" s="114">
        <v>1970</v>
      </c>
      <c r="F25" s="115" t="s">
        <v>87</v>
      </c>
      <c r="G25" s="115">
        <v>5</v>
      </c>
      <c r="H25" s="116">
        <v>6</v>
      </c>
      <c r="I25" s="117">
        <v>5372.1</v>
      </c>
      <c r="J25" s="117">
        <v>3781.6</v>
      </c>
      <c r="K25" s="321">
        <v>114</v>
      </c>
      <c r="L25" s="117">
        <f>'Приложение 2 КСП 2018-2019 гг'!G27</f>
        <v>6136230.8600000003</v>
      </c>
      <c r="M25" s="144">
        <v>0</v>
      </c>
      <c r="N25" s="144">
        <v>0</v>
      </c>
      <c r="O25" s="230">
        <v>0</v>
      </c>
      <c r="P25" s="230">
        <f t="shared" si="0"/>
        <v>6136230.8600000003</v>
      </c>
      <c r="Q25" s="144">
        <v>0</v>
      </c>
      <c r="R25" s="144">
        <v>0</v>
      </c>
      <c r="S25" s="144" t="s">
        <v>585</v>
      </c>
      <c r="T25" s="41"/>
      <c r="U25" s="42"/>
    </row>
    <row r="26" spans="1:21" ht="9" hidden="1" customHeight="1">
      <c r="A26" s="339">
        <v>13</v>
      </c>
      <c r="B26" s="112" t="s">
        <v>484</v>
      </c>
      <c r="C26" s="211" t="s">
        <v>1126</v>
      </c>
      <c r="D26" s="113" t="s">
        <v>1125</v>
      </c>
      <c r="E26" s="114">
        <v>1972</v>
      </c>
      <c r="F26" s="115" t="s">
        <v>87</v>
      </c>
      <c r="G26" s="115">
        <v>5</v>
      </c>
      <c r="H26" s="116">
        <v>6</v>
      </c>
      <c r="I26" s="117">
        <v>5261.1</v>
      </c>
      <c r="J26" s="117">
        <v>3819.7</v>
      </c>
      <c r="K26" s="321">
        <v>184</v>
      </c>
      <c r="L26" s="117">
        <f>'Приложение 2 КСП 2018-2019 гг'!G28</f>
        <v>5589070.4100000001</v>
      </c>
      <c r="M26" s="144">
        <v>0</v>
      </c>
      <c r="N26" s="144">
        <v>0</v>
      </c>
      <c r="O26" s="230">
        <v>0</v>
      </c>
      <c r="P26" s="230">
        <f t="shared" si="0"/>
        <v>5589070.4100000001</v>
      </c>
      <c r="Q26" s="144">
        <v>0</v>
      </c>
      <c r="R26" s="144">
        <v>0</v>
      </c>
      <c r="S26" s="144" t="s">
        <v>585</v>
      </c>
      <c r="T26" s="41"/>
      <c r="U26" s="42"/>
    </row>
    <row r="27" spans="1:21" ht="9" hidden="1" customHeight="1">
      <c r="A27" s="339">
        <v>14</v>
      </c>
      <c r="B27" s="112" t="s">
        <v>485</v>
      </c>
      <c r="C27" s="211" t="s">
        <v>1126</v>
      </c>
      <c r="D27" s="113" t="s">
        <v>1125</v>
      </c>
      <c r="E27" s="114">
        <v>1971</v>
      </c>
      <c r="F27" s="115" t="s">
        <v>87</v>
      </c>
      <c r="G27" s="115">
        <v>5</v>
      </c>
      <c r="H27" s="116">
        <v>6</v>
      </c>
      <c r="I27" s="117">
        <v>4907.6000000000004</v>
      </c>
      <c r="J27" s="117">
        <v>4509.6000000000004</v>
      </c>
      <c r="K27" s="321">
        <v>245</v>
      </c>
      <c r="L27" s="117">
        <f>'Приложение 2 КСП 2018-2019 гг'!G29</f>
        <v>5510744.8499999996</v>
      </c>
      <c r="M27" s="144">
        <v>0</v>
      </c>
      <c r="N27" s="144">
        <v>0</v>
      </c>
      <c r="O27" s="230">
        <v>0</v>
      </c>
      <c r="P27" s="230">
        <f t="shared" si="0"/>
        <v>5510744.8499999996</v>
      </c>
      <c r="Q27" s="144">
        <v>0</v>
      </c>
      <c r="R27" s="144">
        <v>0</v>
      </c>
      <c r="S27" s="144" t="s">
        <v>585</v>
      </c>
      <c r="T27" s="41"/>
      <c r="U27" s="42"/>
    </row>
    <row r="28" spans="1:21" ht="9" hidden="1" customHeight="1">
      <c r="A28" s="339">
        <v>15</v>
      </c>
      <c r="B28" s="112" t="s">
        <v>486</v>
      </c>
      <c r="C28" s="211" t="s">
        <v>1126</v>
      </c>
      <c r="D28" s="113" t="s">
        <v>1125</v>
      </c>
      <c r="E28" s="114">
        <v>1983</v>
      </c>
      <c r="F28" s="115" t="s">
        <v>89</v>
      </c>
      <c r="G28" s="115">
        <v>5</v>
      </c>
      <c r="H28" s="116">
        <v>6</v>
      </c>
      <c r="I28" s="117">
        <v>4539</v>
      </c>
      <c r="J28" s="117">
        <v>4084.6</v>
      </c>
      <c r="K28" s="321">
        <v>186</v>
      </c>
      <c r="L28" s="117">
        <f>'Приложение 2 КСП 2018-2019 гг'!G30</f>
        <v>4020342.96</v>
      </c>
      <c r="M28" s="144">
        <v>0</v>
      </c>
      <c r="N28" s="144">
        <v>0</v>
      </c>
      <c r="O28" s="230">
        <v>0</v>
      </c>
      <c r="P28" s="230">
        <f t="shared" si="0"/>
        <v>4020342.96</v>
      </c>
      <c r="Q28" s="144">
        <v>0</v>
      </c>
      <c r="R28" s="144">
        <v>0</v>
      </c>
      <c r="S28" s="144" t="s">
        <v>585</v>
      </c>
      <c r="T28" s="41"/>
      <c r="U28" s="42"/>
    </row>
    <row r="29" spans="1:21" ht="9" hidden="1" customHeight="1">
      <c r="A29" s="339">
        <v>16</v>
      </c>
      <c r="B29" s="112" t="s">
        <v>487</v>
      </c>
      <c r="C29" s="211" t="s">
        <v>1126</v>
      </c>
      <c r="D29" s="113" t="s">
        <v>1125</v>
      </c>
      <c r="E29" s="114">
        <v>1982</v>
      </c>
      <c r="F29" s="115" t="s">
        <v>89</v>
      </c>
      <c r="G29" s="115">
        <v>5</v>
      </c>
      <c r="H29" s="116">
        <v>6</v>
      </c>
      <c r="I29" s="117">
        <v>4702.7</v>
      </c>
      <c r="J29" s="117">
        <v>4230.7</v>
      </c>
      <c r="K29" s="321">
        <v>205</v>
      </c>
      <c r="L29" s="117">
        <f>'Приложение 2 КСП 2018-2019 гг'!G31</f>
        <v>4168601.21</v>
      </c>
      <c r="M29" s="144">
        <v>0</v>
      </c>
      <c r="N29" s="144">
        <v>0</v>
      </c>
      <c r="O29" s="230">
        <v>0</v>
      </c>
      <c r="P29" s="230">
        <f t="shared" si="0"/>
        <v>4168601.21</v>
      </c>
      <c r="Q29" s="144">
        <v>0</v>
      </c>
      <c r="R29" s="144">
        <v>0</v>
      </c>
      <c r="S29" s="144" t="s">
        <v>585</v>
      </c>
      <c r="T29" s="41"/>
      <c r="U29" s="42"/>
    </row>
    <row r="30" spans="1:21" ht="9" hidden="1" customHeight="1">
      <c r="A30" s="339">
        <v>17</v>
      </c>
      <c r="B30" s="112" t="s">
        <v>488</v>
      </c>
      <c r="C30" s="211" t="s">
        <v>1126</v>
      </c>
      <c r="D30" s="113" t="s">
        <v>1125</v>
      </c>
      <c r="E30" s="114">
        <v>1986</v>
      </c>
      <c r="F30" s="115" t="s">
        <v>89</v>
      </c>
      <c r="G30" s="115">
        <v>5</v>
      </c>
      <c r="H30" s="116">
        <v>6</v>
      </c>
      <c r="I30" s="117">
        <v>4776.8</v>
      </c>
      <c r="J30" s="117">
        <v>4184.3</v>
      </c>
      <c r="K30" s="321">
        <v>195</v>
      </c>
      <c r="L30" s="117">
        <f>'Приложение 2 КСП 2018-2019 гг'!G32</f>
        <v>4038798.65</v>
      </c>
      <c r="M30" s="144">
        <v>0</v>
      </c>
      <c r="N30" s="144">
        <v>0</v>
      </c>
      <c r="O30" s="230">
        <v>0</v>
      </c>
      <c r="P30" s="230">
        <f t="shared" si="0"/>
        <v>4038798.65</v>
      </c>
      <c r="Q30" s="144">
        <v>0</v>
      </c>
      <c r="R30" s="144">
        <v>0</v>
      </c>
      <c r="S30" s="144" t="s">
        <v>585</v>
      </c>
      <c r="T30" s="41"/>
      <c r="U30" s="42"/>
    </row>
    <row r="31" spans="1:21" ht="9" hidden="1" customHeight="1">
      <c r="A31" s="339">
        <v>18</v>
      </c>
      <c r="B31" s="112" t="s">
        <v>489</v>
      </c>
      <c r="C31" s="211" t="s">
        <v>1126</v>
      </c>
      <c r="D31" s="113" t="s">
        <v>1125</v>
      </c>
      <c r="E31" s="114">
        <v>1983</v>
      </c>
      <c r="F31" s="115" t="s">
        <v>89</v>
      </c>
      <c r="G31" s="115">
        <v>5</v>
      </c>
      <c r="H31" s="116">
        <v>2</v>
      </c>
      <c r="I31" s="117">
        <v>1616.8</v>
      </c>
      <c r="J31" s="117">
        <v>1458.8</v>
      </c>
      <c r="K31" s="321">
        <v>54</v>
      </c>
      <c r="L31" s="117">
        <f>'Приложение 2 КСП 2018-2019 гг'!G33</f>
        <v>1603416.18</v>
      </c>
      <c r="M31" s="144">
        <v>0</v>
      </c>
      <c r="N31" s="144">
        <v>0</v>
      </c>
      <c r="O31" s="230">
        <v>0</v>
      </c>
      <c r="P31" s="230">
        <f t="shared" si="0"/>
        <v>1603416.18</v>
      </c>
      <c r="Q31" s="144">
        <v>0</v>
      </c>
      <c r="R31" s="144">
        <v>0</v>
      </c>
      <c r="S31" s="144" t="s">
        <v>585</v>
      </c>
      <c r="T31" s="41"/>
      <c r="U31" s="42"/>
    </row>
    <row r="32" spans="1:21" ht="9" hidden="1" customHeight="1">
      <c r="A32" s="339">
        <v>19</v>
      </c>
      <c r="B32" s="112" t="s">
        <v>490</v>
      </c>
      <c r="C32" s="211" t="s">
        <v>1126</v>
      </c>
      <c r="D32" s="113" t="s">
        <v>1125</v>
      </c>
      <c r="E32" s="114">
        <v>1989</v>
      </c>
      <c r="F32" s="115" t="s">
        <v>89</v>
      </c>
      <c r="G32" s="115">
        <v>5</v>
      </c>
      <c r="H32" s="116">
        <v>4</v>
      </c>
      <c r="I32" s="117">
        <v>2898.6</v>
      </c>
      <c r="J32" s="117">
        <v>2594.6</v>
      </c>
      <c r="K32" s="321">
        <v>30</v>
      </c>
      <c r="L32" s="117">
        <f>'Приложение 2 КСП 2018-2019 гг'!G34</f>
        <v>2987085.2</v>
      </c>
      <c r="M32" s="144">
        <v>0</v>
      </c>
      <c r="N32" s="144">
        <v>0</v>
      </c>
      <c r="O32" s="230">
        <v>0</v>
      </c>
      <c r="P32" s="230">
        <f t="shared" si="0"/>
        <v>2987085.2</v>
      </c>
      <c r="Q32" s="144">
        <v>0</v>
      </c>
      <c r="R32" s="144">
        <v>0</v>
      </c>
      <c r="S32" s="144" t="s">
        <v>585</v>
      </c>
      <c r="T32" s="41"/>
      <c r="U32" s="42"/>
    </row>
    <row r="33" spans="1:21" ht="9" hidden="1" customHeight="1">
      <c r="A33" s="339">
        <v>20</v>
      </c>
      <c r="B33" s="112" t="s">
        <v>491</v>
      </c>
      <c r="C33" s="211" t="s">
        <v>1126</v>
      </c>
      <c r="D33" s="113" t="s">
        <v>1125</v>
      </c>
      <c r="E33" s="114">
        <v>1979</v>
      </c>
      <c r="F33" s="115" t="s">
        <v>87</v>
      </c>
      <c r="G33" s="115">
        <v>5</v>
      </c>
      <c r="H33" s="116">
        <v>4</v>
      </c>
      <c r="I33" s="117">
        <v>4030.7</v>
      </c>
      <c r="J33" s="117">
        <v>3421.9</v>
      </c>
      <c r="K33" s="321">
        <v>146</v>
      </c>
      <c r="L33" s="117">
        <f>'Приложение 2 КСП 2018-2019 гг'!G35</f>
        <v>3125785.65</v>
      </c>
      <c r="M33" s="144">
        <v>0</v>
      </c>
      <c r="N33" s="144">
        <v>0</v>
      </c>
      <c r="O33" s="230">
        <v>0</v>
      </c>
      <c r="P33" s="230">
        <f t="shared" si="0"/>
        <v>3125785.65</v>
      </c>
      <c r="Q33" s="144">
        <v>0</v>
      </c>
      <c r="R33" s="144">
        <v>0</v>
      </c>
      <c r="S33" s="144" t="s">
        <v>585</v>
      </c>
      <c r="T33" s="41"/>
      <c r="U33" s="42"/>
    </row>
    <row r="34" spans="1:21" ht="9" hidden="1" customHeight="1">
      <c r="A34" s="339">
        <v>21</v>
      </c>
      <c r="B34" s="112" t="s">
        <v>492</v>
      </c>
      <c r="C34" s="211" t="s">
        <v>1126</v>
      </c>
      <c r="D34" s="113" t="s">
        <v>1125</v>
      </c>
      <c r="E34" s="114">
        <v>1954</v>
      </c>
      <c r="F34" s="115" t="s">
        <v>87</v>
      </c>
      <c r="G34" s="115">
        <v>5</v>
      </c>
      <c r="H34" s="116">
        <v>2</v>
      </c>
      <c r="I34" s="117">
        <v>2521.3000000000002</v>
      </c>
      <c r="J34" s="117">
        <v>1981.6</v>
      </c>
      <c r="K34" s="321">
        <v>79</v>
      </c>
      <c r="L34" s="117">
        <f>'Приложение 2 КСП 2018-2019 гг'!G36</f>
        <v>2865324</v>
      </c>
      <c r="M34" s="144">
        <v>0</v>
      </c>
      <c r="N34" s="144">
        <v>0</v>
      </c>
      <c r="O34" s="230">
        <v>0</v>
      </c>
      <c r="P34" s="230">
        <f t="shared" si="0"/>
        <v>2865324</v>
      </c>
      <c r="Q34" s="144">
        <v>0</v>
      </c>
      <c r="R34" s="144">
        <v>0</v>
      </c>
      <c r="S34" s="144" t="s">
        <v>585</v>
      </c>
      <c r="T34" s="41"/>
      <c r="U34" s="42"/>
    </row>
    <row r="35" spans="1:21" ht="9" hidden="1" customHeight="1">
      <c r="A35" s="339">
        <v>22</v>
      </c>
      <c r="B35" s="112" t="s">
        <v>493</v>
      </c>
      <c r="C35" s="211" t="s">
        <v>1126</v>
      </c>
      <c r="D35" s="113" t="s">
        <v>1125</v>
      </c>
      <c r="E35" s="114">
        <v>1959</v>
      </c>
      <c r="F35" s="115" t="s">
        <v>87</v>
      </c>
      <c r="G35" s="115">
        <v>4</v>
      </c>
      <c r="H35" s="116">
        <v>3</v>
      </c>
      <c r="I35" s="117">
        <v>3062</v>
      </c>
      <c r="J35" s="117">
        <v>2755.8</v>
      </c>
      <c r="K35" s="321">
        <v>110</v>
      </c>
      <c r="L35" s="117">
        <f>'Приложение 2 КСП 2018-2019 гг'!G37</f>
        <v>3559091.6</v>
      </c>
      <c r="M35" s="144">
        <v>0</v>
      </c>
      <c r="N35" s="144">
        <v>0</v>
      </c>
      <c r="O35" s="230">
        <v>0</v>
      </c>
      <c r="P35" s="230">
        <f t="shared" si="0"/>
        <v>3559091.6</v>
      </c>
      <c r="Q35" s="144">
        <v>0</v>
      </c>
      <c r="R35" s="144">
        <v>0</v>
      </c>
      <c r="S35" s="144" t="s">
        <v>585</v>
      </c>
      <c r="T35" s="41"/>
      <c r="U35" s="42"/>
    </row>
    <row r="36" spans="1:21" ht="9" hidden="1" customHeight="1">
      <c r="A36" s="339">
        <v>23</v>
      </c>
      <c r="B36" s="112" t="s">
        <v>494</v>
      </c>
      <c r="C36" s="211" t="s">
        <v>1126</v>
      </c>
      <c r="D36" s="113" t="s">
        <v>1125</v>
      </c>
      <c r="E36" s="114">
        <v>1959</v>
      </c>
      <c r="F36" s="115" t="s">
        <v>87</v>
      </c>
      <c r="G36" s="115">
        <v>4</v>
      </c>
      <c r="H36" s="116">
        <v>3</v>
      </c>
      <c r="I36" s="117">
        <v>2145</v>
      </c>
      <c r="J36" s="117">
        <v>1934.6</v>
      </c>
      <c r="K36" s="321">
        <v>65</v>
      </c>
      <c r="L36" s="117">
        <f>'Приложение 2 КСП 2018-2019 гг'!G38</f>
        <v>2393160</v>
      </c>
      <c r="M36" s="144">
        <v>0</v>
      </c>
      <c r="N36" s="144">
        <v>0</v>
      </c>
      <c r="O36" s="230">
        <v>0</v>
      </c>
      <c r="P36" s="230">
        <f t="shared" si="0"/>
        <v>2393160</v>
      </c>
      <c r="Q36" s="144">
        <v>0</v>
      </c>
      <c r="R36" s="144">
        <v>0</v>
      </c>
      <c r="S36" s="144" t="s">
        <v>585</v>
      </c>
      <c r="T36" s="41"/>
      <c r="U36" s="42"/>
    </row>
    <row r="37" spans="1:21" ht="9" hidden="1" customHeight="1">
      <c r="A37" s="339">
        <v>24</v>
      </c>
      <c r="B37" s="112" t="s">
        <v>495</v>
      </c>
      <c r="C37" s="211" t="s">
        <v>1126</v>
      </c>
      <c r="D37" s="113" t="s">
        <v>1125</v>
      </c>
      <c r="E37" s="114">
        <v>1971</v>
      </c>
      <c r="F37" s="115" t="s">
        <v>87</v>
      </c>
      <c r="G37" s="115">
        <v>5</v>
      </c>
      <c r="H37" s="116">
        <v>4</v>
      </c>
      <c r="I37" s="117">
        <v>3709.5</v>
      </c>
      <c r="J37" s="117">
        <v>2711</v>
      </c>
      <c r="K37" s="321">
        <v>105</v>
      </c>
      <c r="L37" s="117">
        <f>'Приложение 2 КСП 2018-2019 гг'!G39</f>
        <v>4274875.46</v>
      </c>
      <c r="M37" s="144">
        <v>0</v>
      </c>
      <c r="N37" s="144">
        <v>0</v>
      </c>
      <c r="O37" s="230">
        <v>0</v>
      </c>
      <c r="P37" s="230">
        <f t="shared" si="0"/>
        <v>4274875.46</v>
      </c>
      <c r="Q37" s="144">
        <v>0</v>
      </c>
      <c r="R37" s="144">
        <v>0</v>
      </c>
      <c r="S37" s="144" t="s">
        <v>585</v>
      </c>
      <c r="T37" s="41"/>
      <c r="U37" s="42"/>
    </row>
    <row r="38" spans="1:21" ht="9" hidden="1" customHeight="1">
      <c r="A38" s="339">
        <v>25</v>
      </c>
      <c r="B38" s="112" t="s">
        <v>496</v>
      </c>
      <c r="C38" s="211" t="s">
        <v>1126</v>
      </c>
      <c r="D38" s="113" t="s">
        <v>1125</v>
      </c>
      <c r="E38" s="114">
        <v>1981</v>
      </c>
      <c r="F38" s="115" t="s">
        <v>87</v>
      </c>
      <c r="G38" s="115">
        <v>5</v>
      </c>
      <c r="H38" s="116">
        <v>10</v>
      </c>
      <c r="I38" s="117">
        <v>7783.55</v>
      </c>
      <c r="J38" s="117">
        <v>6957.45</v>
      </c>
      <c r="K38" s="321">
        <v>269</v>
      </c>
      <c r="L38" s="117">
        <f>'Приложение 2 КСП 2018-2019 гг'!G40</f>
        <v>5267741.5</v>
      </c>
      <c r="M38" s="144">
        <v>0</v>
      </c>
      <c r="N38" s="144">
        <v>0</v>
      </c>
      <c r="O38" s="230">
        <v>0</v>
      </c>
      <c r="P38" s="230">
        <f t="shared" si="0"/>
        <v>5267741.5</v>
      </c>
      <c r="Q38" s="144">
        <v>0</v>
      </c>
      <c r="R38" s="144">
        <v>0</v>
      </c>
      <c r="S38" s="144" t="s">
        <v>585</v>
      </c>
      <c r="T38" s="41"/>
      <c r="U38" s="42"/>
    </row>
    <row r="39" spans="1:21" ht="9" hidden="1" customHeight="1">
      <c r="A39" s="339">
        <v>26</v>
      </c>
      <c r="B39" s="112" t="s">
        <v>497</v>
      </c>
      <c r="C39" s="211" t="s">
        <v>1126</v>
      </c>
      <c r="D39" s="113" t="s">
        <v>1125</v>
      </c>
      <c r="E39" s="114">
        <v>1988</v>
      </c>
      <c r="F39" s="115" t="s">
        <v>87</v>
      </c>
      <c r="G39" s="115">
        <v>5</v>
      </c>
      <c r="H39" s="116">
        <v>10</v>
      </c>
      <c r="I39" s="117">
        <v>8326.9</v>
      </c>
      <c r="J39" s="117">
        <v>7495.9</v>
      </c>
      <c r="K39" s="321">
        <v>335</v>
      </c>
      <c r="L39" s="117">
        <f>'Приложение 2 КСП 2018-2019 гг'!G41</f>
        <v>4785659.21</v>
      </c>
      <c r="M39" s="144">
        <v>0</v>
      </c>
      <c r="N39" s="144">
        <v>0</v>
      </c>
      <c r="O39" s="230">
        <v>0</v>
      </c>
      <c r="P39" s="230">
        <f t="shared" si="0"/>
        <v>4785659.21</v>
      </c>
      <c r="Q39" s="144">
        <v>0</v>
      </c>
      <c r="R39" s="144">
        <v>0</v>
      </c>
      <c r="S39" s="144" t="s">
        <v>585</v>
      </c>
      <c r="T39" s="41"/>
      <c r="U39" s="42"/>
    </row>
    <row r="40" spans="1:21" ht="9" hidden="1" customHeight="1">
      <c r="A40" s="339">
        <v>27</v>
      </c>
      <c r="B40" s="112" t="s">
        <v>498</v>
      </c>
      <c r="C40" s="211" t="s">
        <v>1126</v>
      </c>
      <c r="D40" s="113" t="s">
        <v>1125</v>
      </c>
      <c r="E40" s="114">
        <v>1962</v>
      </c>
      <c r="F40" s="115" t="s">
        <v>87</v>
      </c>
      <c r="G40" s="115">
        <v>2</v>
      </c>
      <c r="H40" s="116">
        <v>2</v>
      </c>
      <c r="I40" s="117">
        <v>1038.8</v>
      </c>
      <c r="J40" s="117">
        <v>750.8</v>
      </c>
      <c r="K40" s="321">
        <v>63</v>
      </c>
      <c r="L40" s="117">
        <f>'Приложение 2 КСП 2018-2019 гг'!G42</f>
        <v>2899789.58</v>
      </c>
      <c r="M40" s="144">
        <v>0</v>
      </c>
      <c r="N40" s="144">
        <v>0</v>
      </c>
      <c r="O40" s="230">
        <v>0</v>
      </c>
      <c r="P40" s="230">
        <f t="shared" si="0"/>
        <v>2899789.58</v>
      </c>
      <c r="Q40" s="144">
        <v>0</v>
      </c>
      <c r="R40" s="144">
        <v>0</v>
      </c>
      <c r="S40" s="144" t="s">
        <v>585</v>
      </c>
      <c r="T40" s="41"/>
      <c r="U40" s="42"/>
    </row>
    <row r="41" spans="1:21" ht="9" hidden="1" customHeight="1">
      <c r="A41" s="339">
        <v>28</v>
      </c>
      <c r="B41" s="112" t="s">
        <v>499</v>
      </c>
      <c r="C41" s="211" t="s">
        <v>1126</v>
      </c>
      <c r="D41" s="113" t="s">
        <v>1125</v>
      </c>
      <c r="E41" s="114">
        <v>1976</v>
      </c>
      <c r="F41" s="115" t="s">
        <v>87</v>
      </c>
      <c r="G41" s="115">
        <v>5</v>
      </c>
      <c r="H41" s="116">
        <v>6</v>
      </c>
      <c r="I41" s="117">
        <v>4748.7</v>
      </c>
      <c r="J41" s="117">
        <v>3960.7</v>
      </c>
      <c r="K41" s="321">
        <v>200</v>
      </c>
      <c r="L41" s="117">
        <f>'Приложение 2 КСП 2018-2019 гг'!G43</f>
        <v>5919999.2400000002</v>
      </c>
      <c r="M41" s="144">
        <v>0</v>
      </c>
      <c r="N41" s="144">
        <v>0</v>
      </c>
      <c r="O41" s="230">
        <v>0</v>
      </c>
      <c r="P41" s="230">
        <f t="shared" si="0"/>
        <v>5919999.2400000002</v>
      </c>
      <c r="Q41" s="144">
        <v>0</v>
      </c>
      <c r="R41" s="144">
        <v>0</v>
      </c>
      <c r="S41" s="144" t="s">
        <v>585</v>
      </c>
      <c r="T41" s="41"/>
      <c r="U41" s="42"/>
    </row>
    <row r="42" spans="1:21" ht="9" hidden="1" customHeight="1">
      <c r="A42" s="339">
        <v>29</v>
      </c>
      <c r="B42" s="112" t="s">
        <v>500</v>
      </c>
      <c r="C42" s="211" t="s">
        <v>1126</v>
      </c>
      <c r="D42" s="113" t="s">
        <v>1125</v>
      </c>
      <c r="E42" s="114">
        <v>1976</v>
      </c>
      <c r="F42" s="115" t="s">
        <v>89</v>
      </c>
      <c r="G42" s="115">
        <v>5</v>
      </c>
      <c r="H42" s="116">
        <v>6</v>
      </c>
      <c r="I42" s="117">
        <v>4347.1000000000004</v>
      </c>
      <c r="J42" s="117">
        <v>3936.1</v>
      </c>
      <c r="K42" s="321">
        <v>182</v>
      </c>
      <c r="L42" s="117">
        <f>'Приложение 2 КСП 2018-2019 гг'!G44</f>
        <v>3823391.52</v>
      </c>
      <c r="M42" s="144">
        <v>0</v>
      </c>
      <c r="N42" s="144">
        <v>0</v>
      </c>
      <c r="O42" s="230">
        <v>0</v>
      </c>
      <c r="P42" s="230">
        <f t="shared" si="0"/>
        <v>3823391.52</v>
      </c>
      <c r="Q42" s="144">
        <v>0</v>
      </c>
      <c r="R42" s="144">
        <v>0</v>
      </c>
      <c r="S42" s="144" t="s">
        <v>585</v>
      </c>
      <c r="T42" s="41"/>
      <c r="U42" s="42"/>
    </row>
    <row r="43" spans="1:21" ht="9" hidden="1" customHeight="1">
      <c r="A43" s="339">
        <v>30</v>
      </c>
      <c r="B43" s="112" t="s">
        <v>501</v>
      </c>
      <c r="C43" s="211" t="s">
        <v>1126</v>
      </c>
      <c r="D43" s="113" t="s">
        <v>1125</v>
      </c>
      <c r="E43" s="114">
        <v>1976</v>
      </c>
      <c r="F43" s="115" t="s">
        <v>87</v>
      </c>
      <c r="G43" s="115">
        <v>5</v>
      </c>
      <c r="H43" s="116">
        <v>4</v>
      </c>
      <c r="I43" s="117">
        <v>3433.6</v>
      </c>
      <c r="J43" s="117">
        <v>3164.8</v>
      </c>
      <c r="K43" s="321">
        <v>169</v>
      </c>
      <c r="L43" s="117">
        <f>'Приложение 2 КСП 2018-2019 гг'!G45</f>
        <v>3114956.2</v>
      </c>
      <c r="M43" s="144">
        <v>0</v>
      </c>
      <c r="N43" s="144">
        <v>0</v>
      </c>
      <c r="O43" s="230">
        <v>0</v>
      </c>
      <c r="P43" s="230">
        <f t="shared" si="0"/>
        <v>3114956.2</v>
      </c>
      <c r="Q43" s="144">
        <v>0</v>
      </c>
      <c r="R43" s="144">
        <v>0</v>
      </c>
      <c r="S43" s="144" t="s">
        <v>585</v>
      </c>
      <c r="T43" s="41"/>
      <c r="U43" s="42"/>
    </row>
    <row r="44" spans="1:21" ht="9" hidden="1" customHeight="1">
      <c r="A44" s="339">
        <v>31</v>
      </c>
      <c r="B44" s="112" t="s">
        <v>502</v>
      </c>
      <c r="C44" s="211" t="s">
        <v>1126</v>
      </c>
      <c r="D44" s="113" t="s">
        <v>1125</v>
      </c>
      <c r="E44" s="114">
        <v>1972</v>
      </c>
      <c r="F44" s="115" t="s">
        <v>87</v>
      </c>
      <c r="G44" s="115">
        <v>5</v>
      </c>
      <c r="H44" s="116">
        <v>4</v>
      </c>
      <c r="I44" s="117">
        <v>3331.6</v>
      </c>
      <c r="J44" s="117">
        <v>2990.3</v>
      </c>
      <c r="K44" s="321">
        <v>155</v>
      </c>
      <c r="L44" s="117">
        <f>'Приложение 2 КСП 2018-2019 гг'!G46</f>
        <v>3619679.11</v>
      </c>
      <c r="M44" s="144">
        <v>0</v>
      </c>
      <c r="N44" s="144">
        <v>0</v>
      </c>
      <c r="O44" s="230">
        <v>0</v>
      </c>
      <c r="P44" s="230">
        <f t="shared" si="0"/>
        <v>3619679.11</v>
      </c>
      <c r="Q44" s="144">
        <v>0</v>
      </c>
      <c r="R44" s="144">
        <v>0</v>
      </c>
      <c r="S44" s="144" t="s">
        <v>585</v>
      </c>
      <c r="T44" s="41"/>
      <c r="U44" s="42"/>
    </row>
    <row r="45" spans="1:21" ht="9" hidden="1" customHeight="1">
      <c r="A45" s="339">
        <v>32</v>
      </c>
      <c r="B45" s="112" t="s">
        <v>503</v>
      </c>
      <c r="C45" s="211" t="s">
        <v>1126</v>
      </c>
      <c r="D45" s="113" t="s">
        <v>1125</v>
      </c>
      <c r="E45" s="114">
        <v>1979</v>
      </c>
      <c r="F45" s="115" t="s">
        <v>89</v>
      </c>
      <c r="G45" s="115">
        <v>5</v>
      </c>
      <c r="H45" s="116">
        <v>6</v>
      </c>
      <c r="I45" s="117">
        <v>4305.3999999999996</v>
      </c>
      <c r="J45" s="117">
        <v>3894.4</v>
      </c>
      <c r="K45" s="321">
        <v>205</v>
      </c>
      <c r="L45" s="117">
        <f>'Приложение 2 КСП 2018-2019 гг'!G47</f>
        <v>4217652.8</v>
      </c>
      <c r="M45" s="144">
        <v>0</v>
      </c>
      <c r="N45" s="144">
        <v>0</v>
      </c>
      <c r="O45" s="230">
        <v>0</v>
      </c>
      <c r="P45" s="230">
        <f t="shared" si="0"/>
        <v>4217652.8</v>
      </c>
      <c r="Q45" s="144">
        <v>0</v>
      </c>
      <c r="R45" s="144">
        <v>0</v>
      </c>
      <c r="S45" s="144" t="s">
        <v>585</v>
      </c>
      <c r="T45" s="41"/>
      <c r="U45" s="42"/>
    </row>
    <row r="46" spans="1:21" ht="9" hidden="1" customHeight="1">
      <c r="A46" s="339">
        <v>33</v>
      </c>
      <c r="B46" s="112" t="s">
        <v>504</v>
      </c>
      <c r="C46" s="211" t="s">
        <v>1126</v>
      </c>
      <c r="D46" s="113" t="s">
        <v>1125</v>
      </c>
      <c r="E46" s="114">
        <v>1983</v>
      </c>
      <c r="F46" s="115" t="s">
        <v>87</v>
      </c>
      <c r="G46" s="115">
        <v>5</v>
      </c>
      <c r="H46" s="116">
        <v>8</v>
      </c>
      <c r="I46" s="117">
        <v>6069.4</v>
      </c>
      <c r="J46" s="117">
        <v>4613.5</v>
      </c>
      <c r="K46" s="321">
        <v>202</v>
      </c>
      <c r="L46" s="117">
        <f>'Приложение 2 КСП 2018-2019 гг'!G48</f>
        <v>6298862.71</v>
      </c>
      <c r="M46" s="144">
        <v>0</v>
      </c>
      <c r="N46" s="144">
        <v>0</v>
      </c>
      <c r="O46" s="230">
        <v>0</v>
      </c>
      <c r="P46" s="230">
        <f t="shared" si="0"/>
        <v>6298862.71</v>
      </c>
      <c r="Q46" s="144">
        <v>0</v>
      </c>
      <c r="R46" s="144">
        <v>0</v>
      </c>
      <c r="S46" s="144" t="s">
        <v>585</v>
      </c>
      <c r="T46" s="41"/>
      <c r="U46" s="42"/>
    </row>
    <row r="47" spans="1:21" ht="9" hidden="1" customHeight="1">
      <c r="A47" s="339">
        <v>34</v>
      </c>
      <c r="B47" s="112" t="s">
        <v>505</v>
      </c>
      <c r="C47" s="211" t="s">
        <v>1126</v>
      </c>
      <c r="D47" s="113" t="s">
        <v>1125</v>
      </c>
      <c r="E47" s="114">
        <v>1988</v>
      </c>
      <c r="F47" s="115" t="s">
        <v>87</v>
      </c>
      <c r="G47" s="115">
        <v>5</v>
      </c>
      <c r="H47" s="116">
        <v>2</v>
      </c>
      <c r="I47" s="117">
        <v>1579.9</v>
      </c>
      <c r="J47" s="117">
        <v>1116.4000000000001</v>
      </c>
      <c r="K47" s="321">
        <v>51</v>
      </c>
      <c r="L47" s="117">
        <f>'Приложение 2 КСП 2018-2019 гг'!G49</f>
        <v>1740627.35</v>
      </c>
      <c r="M47" s="144">
        <v>0</v>
      </c>
      <c r="N47" s="144">
        <v>0</v>
      </c>
      <c r="O47" s="230">
        <v>0</v>
      </c>
      <c r="P47" s="230">
        <f t="shared" si="0"/>
        <v>1740627.35</v>
      </c>
      <c r="Q47" s="144">
        <v>0</v>
      </c>
      <c r="R47" s="144">
        <v>0</v>
      </c>
      <c r="S47" s="144" t="s">
        <v>585</v>
      </c>
      <c r="T47" s="41"/>
      <c r="U47" s="42"/>
    </row>
    <row r="48" spans="1:21" ht="9" hidden="1" customHeight="1">
      <c r="A48" s="339">
        <v>35</v>
      </c>
      <c r="B48" s="112" t="s">
        <v>507</v>
      </c>
      <c r="C48" s="211" t="s">
        <v>1126</v>
      </c>
      <c r="D48" s="113" t="s">
        <v>1125</v>
      </c>
      <c r="E48" s="114">
        <v>1980</v>
      </c>
      <c r="F48" s="115" t="s">
        <v>87</v>
      </c>
      <c r="G48" s="115">
        <v>5</v>
      </c>
      <c r="H48" s="116">
        <v>4</v>
      </c>
      <c r="I48" s="117">
        <v>3652.1</v>
      </c>
      <c r="J48" s="117">
        <v>2676.7</v>
      </c>
      <c r="K48" s="321">
        <v>143</v>
      </c>
      <c r="L48" s="117">
        <f>'Приложение 2 КСП 2018-2019 гг'!G50</f>
        <v>3513476.88</v>
      </c>
      <c r="M48" s="144">
        <v>0</v>
      </c>
      <c r="N48" s="144">
        <v>0</v>
      </c>
      <c r="O48" s="230">
        <v>0</v>
      </c>
      <c r="P48" s="230">
        <f t="shared" si="0"/>
        <v>3513476.88</v>
      </c>
      <c r="Q48" s="144">
        <v>0</v>
      </c>
      <c r="R48" s="144">
        <v>0</v>
      </c>
      <c r="S48" s="144" t="s">
        <v>585</v>
      </c>
      <c r="T48" s="41"/>
      <c r="U48" s="42"/>
    </row>
    <row r="49" spans="1:21" ht="9" hidden="1" customHeight="1">
      <c r="A49" s="339">
        <v>36</v>
      </c>
      <c r="B49" s="112" t="s">
        <v>508</v>
      </c>
      <c r="C49" s="211" t="s">
        <v>1126</v>
      </c>
      <c r="D49" s="113" t="s">
        <v>1125</v>
      </c>
      <c r="E49" s="114">
        <v>1955</v>
      </c>
      <c r="F49" s="115" t="s">
        <v>87</v>
      </c>
      <c r="G49" s="115">
        <v>3</v>
      </c>
      <c r="H49" s="116">
        <v>3</v>
      </c>
      <c r="I49" s="117">
        <v>2187.1999999999998</v>
      </c>
      <c r="J49" s="117">
        <v>1421.4</v>
      </c>
      <c r="K49" s="321">
        <v>66</v>
      </c>
      <c r="L49" s="117">
        <f>'Приложение 2 КСП 2018-2019 гг'!G51</f>
        <v>3886464.56</v>
      </c>
      <c r="M49" s="144">
        <v>0</v>
      </c>
      <c r="N49" s="144">
        <v>0</v>
      </c>
      <c r="O49" s="230">
        <v>0</v>
      </c>
      <c r="P49" s="230">
        <f t="shared" si="0"/>
        <v>3886464.56</v>
      </c>
      <c r="Q49" s="144">
        <v>0</v>
      </c>
      <c r="R49" s="144">
        <v>0</v>
      </c>
      <c r="S49" s="144" t="s">
        <v>585</v>
      </c>
      <c r="T49" s="41"/>
      <c r="U49" s="42"/>
    </row>
    <row r="50" spans="1:21" ht="9" hidden="1" customHeight="1">
      <c r="A50" s="339">
        <v>37</v>
      </c>
      <c r="B50" s="112" t="s">
        <v>509</v>
      </c>
      <c r="C50" s="211" t="s">
        <v>1126</v>
      </c>
      <c r="D50" s="113" t="s">
        <v>1125</v>
      </c>
      <c r="E50" s="114">
        <v>1964</v>
      </c>
      <c r="F50" s="115" t="s">
        <v>87</v>
      </c>
      <c r="G50" s="115">
        <v>5</v>
      </c>
      <c r="H50" s="116">
        <v>2</v>
      </c>
      <c r="I50" s="117">
        <v>1713.5</v>
      </c>
      <c r="J50" s="117">
        <v>1549.7</v>
      </c>
      <c r="K50" s="321">
        <v>69</v>
      </c>
      <c r="L50" s="117">
        <f>'Приложение 2 КСП 2018-2019 гг'!G52</f>
        <v>2287899.0499999998</v>
      </c>
      <c r="M50" s="144">
        <v>0</v>
      </c>
      <c r="N50" s="144">
        <v>0</v>
      </c>
      <c r="O50" s="230">
        <v>0</v>
      </c>
      <c r="P50" s="230">
        <f t="shared" si="0"/>
        <v>2287899.0499999998</v>
      </c>
      <c r="Q50" s="144">
        <v>0</v>
      </c>
      <c r="R50" s="144">
        <v>0</v>
      </c>
      <c r="S50" s="144" t="s">
        <v>585</v>
      </c>
      <c r="T50" s="41"/>
      <c r="U50" s="42"/>
    </row>
    <row r="51" spans="1:21" ht="9" hidden="1" customHeight="1">
      <c r="A51" s="339">
        <v>38</v>
      </c>
      <c r="B51" s="112" t="s">
        <v>510</v>
      </c>
      <c r="C51" s="211" t="s">
        <v>1126</v>
      </c>
      <c r="D51" s="113" t="s">
        <v>1125</v>
      </c>
      <c r="E51" s="114">
        <v>1963</v>
      </c>
      <c r="F51" s="115" t="s">
        <v>87</v>
      </c>
      <c r="G51" s="115">
        <v>3</v>
      </c>
      <c r="H51" s="116">
        <v>4</v>
      </c>
      <c r="I51" s="117">
        <v>1976.1</v>
      </c>
      <c r="J51" s="117">
        <v>1764.7</v>
      </c>
      <c r="K51" s="321">
        <v>69</v>
      </c>
      <c r="L51" s="117">
        <f>'Приложение 2 КСП 2018-2019 гг'!G53</f>
        <v>3552795</v>
      </c>
      <c r="M51" s="144">
        <v>0</v>
      </c>
      <c r="N51" s="144">
        <v>0</v>
      </c>
      <c r="O51" s="230">
        <v>0</v>
      </c>
      <c r="P51" s="230">
        <f t="shared" si="0"/>
        <v>3552795</v>
      </c>
      <c r="Q51" s="144">
        <v>0</v>
      </c>
      <c r="R51" s="144">
        <v>0</v>
      </c>
      <c r="S51" s="144" t="s">
        <v>585</v>
      </c>
      <c r="T51" s="41"/>
      <c r="U51" s="42"/>
    </row>
    <row r="52" spans="1:21" ht="9" hidden="1" customHeight="1">
      <c r="A52" s="339">
        <v>39</v>
      </c>
      <c r="B52" s="112" t="s">
        <v>511</v>
      </c>
      <c r="C52" s="211" t="s">
        <v>1126</v>
      </c>
      <c r="D52" s="113" t="s">
        <v>1125</v>
      </c>
      <c r="E52" s="114">
        <v>1971</v>
      </c>
      <c r="F52" s="115" t="s">
        <v>89</v>
      </c>
      <c r="G52" s="115">
        <v>5</v>
      </c>
      <c r="H52" s="116">
        <v>4</v>
      </c>
      <c r="I52" s="117">
        <v>3537.7</v>
      </c>
      <c r="J52" s="117">
        <v>3164.4</v>
      </c>
      <c r="K52" s="321">
        <v>164</v>
      </c>
      <c r="L52" s="117">
        <f>'Приложение 2 КСП 2018-2019 гг'!G54</f>
        <v>3123570.05</v>
      </c>
      <c r="M52" s="144">
        <v>0</v>
      </c>
      <c r="N52" s="144">
        <v>0</v>
      </c>
      <c r="O52" s="230">
        <v>0</v>
      </c>
      <c r="P52" s="230">
        <f t="shared" si="0"/>
        <v>3123570.05</v>
      </c>
      <c r="Q52" s="144">
        <v>0</v>
      </c>
      <c r="R52" s="144">
        <v>0</v>
      </c>
      <c r="S52" s="144" t="s">
        <v>585</v>
      </c>
      <c r="T52" s="41"/>
      <c r="U52" s="42"/>
    </row>
    <row r="53" spans="1:21" ht="9" hidden="1" customHeight="1">
      <c r="A53" s="339">
        <v>40</v>
      </c>
      <c r="B53" s="112" t="s">
        <v>512</v>
      </c>
      <c r="C53" s="211" t="s">
        <v>1126</v>
      </c>
      <c r="D53" s="113" t="s">
        <v>1125</v>
      </c>
      <c r="E53" s="114">
        <v>1977</v>
      </c>
      <c r="F53" s="115" t="s">
        <v>89</v>
      </c>
      <c r="G53" s="115">
        <v>5</v>
      </c>
      <c r="H53" s="116">
        <v>3</v>
      </c>
      <c r="I53" s="117">
        <v>2459.1</v>
      </c>
      <c r="J53" s="117">
        <v>2106.4</v>
      </c>
      <c r="K53" s="321">
        <v>98</v>
      </c>
      <c r="L53" s="117">
        <f>'Приложение 2 КСП 2018-2019 гг'!G55</f>
        <v>2349030.5</v>
      </c>
      <c r="M53" s="144">
        <v>0</v>
      </c>
      <c r="N53" s="144">
        <v>0</v>
      </c>
      <c r="O53" s="230">
        <v>0</v>
      </c>
      <c r="P53" s="230">
        <f t="shared" si="0"/>
        <v>2349030.5</v>
      </c>
      <c r="Q53" s="144">
        <v>0</v>
      </c>
      <c r="R53" s="144">
        <v>0</v>
      </c>
      <c r="S53" s="144" t="s">
        <v>585</v>
      </c>
      <c r="T53" s="41"/>
      <c r="U53" s="42"/>
    </row>
    <row r="54" spans="1:21" ht="9" hidden="1" customHeight="1">
      <c r="A54" s="339">
        <v>41</v>
      </c>
      <c r="B54" s="112" t="s">
        <v>513</v>
      </c>
      <c r="C54" s="211" t="s">
        <v>1126</v>
      </c>
      <c r="D54" s="113" t="s">
        <v>1125</v>
      </c>
      <c r="E54" s="114">
        <v>1989</v>
      </c>
      <c r="F54" s="115" t="s">
        <v>87</v>
      </c>
      <c r="G54" s="115">
        <v>9</v>
      </c>
      <c r="H54" s="116">
        <v>1</v>
      </c>
      <c r="I54" s="117">
        <v>6011.3</v>
      </c>
      <c r="J54" s="117">
        <v>4985</v>
      </c>
      <c r="K54" s="321">
        <v>186</v>
      </c>
      <c r="L54" s="117">
        <f>'Приложение 2 КСП 2018-2019 гг'!G56</f>
        <v>2257902.41</v>
      </c>
      <c r="M54" s="144">
        <v>0</v>
      </c>
      <c r="N54" s="144">
        <v>0</v>
      </c>
      <c r="O54" s="230">
        <v>0</v>
      </c>
      <c r="P54" s="230">
        <f t="shared" si="0"/>
        <v>2257902.41</v>
      </c>
      <c r="Q54" s="144">
        <v>0</v>
      </c>
      <c r="R54" s="144">
        <v>0</v>
      </c>
      <c r="S54" s="144" t="s">
        <v>585</v>
      </c>
      <c r="T54" s="41"/>
      <c r="U54" s="42"/>
    </row>
    <row r="55" spans="1:21" ht="9" hidden="1" customHeight="1">
      <c r="A55" s="339">
        <v>42</v>
      </c>
      <c r="B55" s="112" t="s">
        <v>514</v>
      </c>
      <c r="C55" s="211" t="s">
        <v>1126</v>
      </c>
      <c r="D55" s="113" t="s">
        <v>1125</v>
      </c>
      <c r="E55" s="114">
        <v>1989</v>
      </c>
      <c r="F55" s="115" t="s">
        <v>87</v>
      </c>
      <c r="G55" s="115">
        <v>9</v>
      </c>
      <c r="H55" s="116">
        <v>1</v>
      </c>
      <c r="I55" s="117">
        <v>5957.8</v>
      </c>
      <c r="J55" s="117">
        <v>4964.5</v>
      </c>
      <c r="K55" s="321">
        <v>228</v>
      </c>
      <c r="L55" s="117">
        <f>'Приложение 2 КСП 2018-2019 гг'!G57</f>
        <v>2259397.7000000002</v>
      </c>
      <c r="M55" s="144">
        <v>0</v>
      </c>
      <c r="N55" s="144">
        <v>0</v>
      </c>
      <c r="O55" s="230">
        <v>0</v>
      </c>
      <c r="P55" s="230">
        <f t="shared" si="0"/>
        <v>2259397.7000000002</v>
      </c>
      <c r="Q55" s="144">
        <v>0</v>
      </c>
      <c r="R55" s="144">
        <v>0</v>
      </c>
      <c r="S55" s="144" t="s">
        <v>585</v>
      </c>
      <c r="T55" s="41"/>
      <c r="U55" s="42"/>
    </row>
    <row r="56" spans="1:21" ht="9" hidden="1" customHeight="1">
      <c r="A56" s="339">
        <v>43</v>
      </c>
      <c r="B56" s="112" t="s">
        <v>515</v>
      </c>
      <c r="C56" s="211" t="s">
        <v>1126</v>
      </c>
      <c r="D56" s="113" t="s">
        <v>1125</v>
      </c>
      <c r="E56" s="114">
        <v>1966</v>
      </c>
      <c r="F56" s="115" t="s">
        <v>87</v>
      </c>
      <c r="G56" s="115">
        <v>2</v>
      </c>
      <c r="H56" s="116">
        <v>1</v>
      </c>
      <c r="I56" s="117">
        <v>987</v>
      </c>
      <c r="J56" s="117">
        <v>581.4</v>
      </c>
      <c r="K56" s="321">
        <v>78</v>
      </c>
      <c r="L56" s="117">
        <f>'Приложение 2 КСП 2018-2019 гг'!G58</f>
        <v>1989743.53</v>
      </c>
      <c r="M56" s="144">
        <v>0</v>
      </c>
      <c r="N56" s="144">
        <v>0</v>
      </c>
      <c r="O56" s="230">
        <v>0</v>
      </c>
      <c r="P56" s="230">
        <f t="shared" si="0"/>
        <v>1989743.53</v>
      </c>
      <c r="Q56" s="144">
        <v>0</v>
      </c>
      <c r="R56" s="144">
        <v>0</v>
      </c>
      <c r="S56" s="144" t="s">
        <v>585</v>
      </c>
      <c r="T56" s="41"/>
      <c r="U56" s="42"/>
    </row>
    <row r="57" spans="1:21" ht="9" hidden="1" customHeight="1">
      <c r="A57" s="339">
        <v>44</v>
      </c>
      <c r="B57" s="112" t="s">
        <v>516</v>
      </c>
      <c r="C57" s="211" t="s">
        <v>1126</v>
      </c>
      <c r="D57" s="113" t="s">
        <v>1125</v>
      </c>
      <c r="E57" s="114">
        <v>1986</v>
      </c>
      <c r="F57" s="115" t="s">
        <v>87</v>
      </c>
      <c r="G57" s="115">
        <v>5</v>
      </c>
      <c r="H57" s="116">
        <v>4</v>
      </c>
      <c r="I57" s="117">
        <v>3125</v>
      </c>
      <c r="J57" s="117">
        <v>2806</v>
      </c>
      <c r="K57" s="321">
        <v>135</v>
      </c>
      <c r="L57" s="117">
        <f>'Приложение 2 КСП 2018-2019 гг'!G59</f>
        <v>2630197.42</v>
      </c>
      <c r="M57" s="144">
        <v>0</v>
      </c>
      <c r="N57" s="144">
        <v>0</v>
      </c>
      <c r="O57" s="230">
        <v>0</v>
      </c>
      <c r="P57" s="230">
        <f t="shared" si="0"/>
        <v>2630197.42</v>
      </c>
      <c r="Q57" s="144">
        <v>0</v>
      </c>
      <c r="R57" s="144">
        <v>0</v>
      </c>
      <c r="S57" s="144" t="s">
        <v>585</v>
      </c>
      <c r="T57" s="41"/>
      <c r="U57" s="42"/>
    </row>
    <row r="58" spans="1:21" ht="9" hidden="1" customHeight="1">
      <c r="A58" s="339">
        <v>45</v>
      </c>
      <c r="B58" s="112" t="s">
        <v>517</v>
      </c>
      <c r="C58" s="211" t="s">
        <v>1126</v>
      </c>
      <c r="D58" s="113" t="s">
        <v>1125</v>
      </c>
      <c r="E58" s="114">
        <v>1989</v>
      </c>
      <c r="F58" s="115" t="s">
        <v>87</v>
      </c>
      <c r="G58" s="115">
        <v>9</v>
      </c>
      <c r="H58" s="116">
        <v>2</v>
      </c>
      <c r="I58" s="117">
        <v>10082.200000000001</v>
      </c>
      <c r="J58" s="117">
        <v>8152.1</v>
      </c>
      <c r="K58" s="321">
        <v>350</v>
      </c>
      <c r="L58" s="117">
        <f>'Приложение 2 КСП 2018-2019 гг'!G60</f>
        <v>4424159.28</v>
      </c>
      <c r="M58" s="230">
        <v>0</v>
      </c>
      <c r="N58" s="230">
        <v>0</v>
      </c>
      <c r="O58" s="230">
        <v>0</v>
      </c>
      <c r="P58" s="230">
        <f t="shared" si="0"/>
        <v>4424159.28</v>
      </c>
      <c r="Q58" s="230">
        <v>0</v>
      </c>
      <c r="R58" s="230">
        <v>0</v>
      </c>
      <c r="S58" s="230" t="s">
        <v>585</v>
      </c>
      <c r="T58" s="41"/>
      <c r="U58" s="42"/>
    </row>
    <row r="59" spans="1:21" ht="9" hidden="1" customHeight="1">
      <c r="A59" s="339">
        <v>46</v>
      </c>
      <c r="B59" s="112" t="s">
        <v>518</v>
      </c>
      <c r="C59" s="211" t="s">
        <v>1126</v>
      </c>
      <c r="D59" s="113" t="s">
        <v>1125</v>
      </c>
      <c r="E59" s="114">
        <v>1967</v>
      </c>
      <c r="F59" s="115" t="s">
        <v>87</v>
      </c>
      <c r="G59" s="115">
        <v>5</v>
      </c>
      <c r="H59" s="116">
        <v>4</v>
      </c>
      <c r="I59" s="117">
        <v>3890.6</v>
      </c>
      <c r="J59" s="117">
        <v>3508.6</v>
      </c>
      <c r="K59" s="321">
        <v>160</v>
      </c>
      <c r="L59" s="117">
        <f>'Приложение 2 КСП 2018-2019 гг'!G61</f>
        <v>3585769.99</v>
      </c>
      <c r="M59" s="230">
        <v>0</v>
      </c>
      <c r="N59" s="230">
        <v>0</v>
      </c>
      <c r="O59" s="230">
        <v>0</v>
      </c>
      <c r="P59" s="230">
        <f t="shared" si="0"/>
        <v>3585769.99</v>
      </c>
      <c r="Q59" s="230">
        <v>0</v>
      </c>
      <c r="R59" s="230">
        <v>0</v>
      </c>
      <c r="S59" s="230" t="s">
        <v>585</v>
      </c>
      <c r="T59" s="41"/>
      <c r="U59" s="42"/>
    </row>
    <row r="60" spans="1:21" ht="9" hidden="1" customHeight="1">
      <c r="A60" s="339">
        <v>47</v>
      </c>
      <c r="B60" s="112" t="s">
        <v>519</v>
      </c>
      <c r="C60" s="211" t="s">
        <v>1126</v>
      </c>
      <c r="D60" s="113" t="s">
        <v>1125</v>
      </c>
      <c r="E60" s="114">
        <v>1989</v>
      </c>
      <c r="F60" s="115" t="s">
        <v>87</v>
      </c>
      <c r="G60" s="115">
        <v>5</v>
      </c>
      <c r="H60" s="116">
        <v>3</v>
      </c>
      <c r="I60" s="117">
        <v>3414.9</v>
      </c>
      <c r="J60" s="117">
        <v>3100.9</v>
      </c>
      <c r="K60" s="321">
        <v>202</v>
      </c>
      <c r="L60" s="117">
        <f>'Приложение 2 КСП 2018-2019 гг'!G62</f>
        <v>2375289.4</v>
      </c>
      <c r="M60" s="230">
        <v>0</v>
      </c>
      <c r="N60" s="230">
        <v>0</v>
      </c>
      <c r="O60" s="230">
        <v>0</v>
      </c>
      <c r="P60" s="230">
        <f t="shared" si="0"/>
        <v>2375289.4</v>
      </c>
      <c r="Q60" s="230">
        <v>0</v>
      </c>
      <c r="R60" s="230">
        <v>0</v>
      </c>
      <c r="S60" s="230" t="s">
        <v>585</v>
      </c>
      <c r="T60" s="41"/>
      <c r="U60" s="42"/>
    </row>
    <row r="61" spans="1:21" ht="9" hidden="1" customHeight="1">
      <c r="A61" s="339">
        <v>48</v>
      </c>
      <c r="B61" s="112" t="s">
        <v>520</v>
      </c>
      <c r="C61" s="211" t="s">
        <v>1126</v>
      </c>
      <c r="D61" s="113" t="s">
        <v>1125</v>
      </c>
      <c r="E61" s="114">
        <v>1988</v>
      </c>
      <c r="F61" s="115" t="s">
        <v>89</v>
      </c>
      <c r="G61" s="115">
        <v>5</v>
      </c>
      <c r="H61" s="116">
        <v>5</v>
      </c>
      <c r="I61" s="117">
        <v>4146.2</v>
      </c>
      <c r="J61" s="117">
        <v>3458.6</v>
      </c>
      <c r="K61" s="321">
        <v>176</v>
      </c>
      <c r="L61" s="117">
        <f>'Приложение 2 КСП 2018-2019 гг'!G63</f>
        <v>3050610</v>
      </c>
      <c r="M61" s="230">
        <v>0</v>
      </c>
      <c r="N61" s="230">
        <v>0</v>
      </c>
      <c r="O61" s="230">
        <v>0</v>
      </c>
      <c r="P61" s="230">
        <f t="shared" si="0"/>
        <v>3050610</v>
      </c>
      <c r="Q61" s="230">
        <v>0</v>
      </c>
      <c r="R61" s="230">
        <v>0</v>
      </c>
      <c r="S61" s="230" t="s">
        <v>585</v>
      </c>
      <c r="T61" s="41"/>
      <c r="U61" s="42"/>
    </row>
    <row r="62" spans="1:21" ht="9" hidden="1" customHeight="1">
      <c r="A62" s="339">
        <v>49</v>
      </c>
      <c r="B62" s="112" t="s">
        <v>521</v>
      </c>
      <c r="C62" s="211" t="s">
        <v>1126</v>
      </c>
      <c r="D62" s="113" t="s">
        <v>1125</v>
      </c>
      <c r="E62" s="114">
        <v>1957</v>
      </c>
      <c r="F62" s="115" t="s">
        <v>87</v>
      </c>
      <c r="G62" s="115">
        <v>3</v>
      </c>
      <c r="H62" s="116">
        <v>3</v>
      </c>
      <c r="I62" s="117">
        <v>1443.3</v>
      </c>
      <c r="J62" s="117">
        <v>1329</v>
      </c>
      <c r="K62" s="321">
        <v>54</v>
      </c>
      <c r="L62" s="117">
        <f>'Приложение 2 КСП 2018-2019 гг'!G64</f>
        <v>2620452.0499999998</v>
      </c>
      <c r="M62" s="230">
        <v>0</v>
      </c>
      <c r="N62" s="230">
        <v>0</v>
      </c>
      <c r="O62" s="230">
        <v>0</v>
      </c>
      <c r="P62" s="230">
        <f t="shared" si="0"/>
        <v>2620452.0499999998</v>
      </c>
      <c r="Q62" s="230">
        <v>0</v>
      </c>
      <c r="R62" s="230">
        <v>0</v>
      </c>
      <c r="S62" s="230" t="s">
        <v>585</v>
      </c>
      <c r="T62" s="41"/>
      <c r="U62" s="42"/>
    </row>
    <row r="63" spans="1:21" ht="9" hidden="1" customHeight="1">
      <c r="A63" s="339">
        <v>50</v>
      </c>
      <c r="B63" s="112" t="s">
        <v>522</v>
      </c>
      <c r="C63" s="211" t="s">
        <v>1126</v>
      </c>
      <c r="D63" s="113" t="s">
        <v>1125</v>
      </c>
      <c r="E63" s="114">
        <v>1960</v>
      </c>
      <c r="F63" s="115" t="s">
        <v>87</v>
      </c>
      <c r="G63" s="115">
        <v>4</v>
      </c>
      <c r="H63" s="116">
        <v>4</v>
      </c>
      <c r="I63" s="117">
        <v>2701.5</v>
      </c>
      <c r="J63" s="117">
        <v>2510.5</v>
      </c>
      <c r="K63" s="321">
        <v>130</v>
      </c>
      <c r="L63" s="117">
        <f>'Приложение 2 КСП 2018-2019 гг'!G65</f>
        <v>4046926.01</v>
      </c>
      <c r="M63" s="230">
        <v>0</v>
      </c>
      <c r="N63" s="230">
        <v>0</v>
      </c>
      <c r="O63" s="230">
        <v>0</v>
      </c>
      <c r="P63" s="230">
        <f t="shared" si="0"/>
        <v>4046926.01</v>
      </c>
      <c r="Q63" s="230">
        <v>0</v>
      </c>
      <c r="R63" s="230">
        <v>0</v>
      </c>
      <c r="S63" s="230" t="s">
        <v>585</v>
      </c>
      <c r="T63" s="41"/>
      <c r="U63" s="42"/>
    </row>
    <row r="64" spans="1:21" ht="9" hidden="1" customHeight="1">
      <c r="A64" s="339">
        <v>51</v>
      </c>
      <c r="B64" s="112" t="s">
        <v>523</v>
      </c>
      <c r="C64" s="211" t="s">
        <v>1126</v>
      </c>
      <c r="D64" s="113" t="s">
        <v>1125</v>
      </c>
      <c r="E64" s="114">
        <v>1964</v>
      </c>
      <c r="F64" s="115" t="s">
        <v>87</v>
      </c>
      <c r="G64" s="115">
        <v>4</v>
      </c>
      <c r="H64" s="116">
        <v>2</v>
      </c>
      <c r="I64" s="117">
        <v>1458.1</v>
      </c>
      <c r="J64" s="117">
        <v>1289.3</v>
      </c>
      <c r="K64" s="321">
        <v>175</v>
      </c>
      <c r="L64" s="117">
        <f>'Приложение 2 КСП 2018-2019 гг'!G66</f>
        <v>1887527.92</v>
      </c>
      <c r="M64" s="230">
        <v>0</v>
      </c>
      <c r="N64" s="230">
        <v>0</v>
      </c>
      <c r="O64" s="230">
        <v>0</v>
      </c>
      <c r="P64" s="230">
        <f t="shared" si="0"/>
        <v>1887527.92</v>
      </c>
      <c r="Q64" s="230">
        <v>0</v>
      </c>
      <c r="R64" s="230">
        <v>0</v>
      </c>
      <c r="S64" s="230" t="s">
        <v>585</v>
      </c>
      <c r="T64" s="41"/>
      <c r="U64" s="42"/>
    </row>
    <row r="65" spans="1:21" ht="9" hidden="1" customHeight="1">
      <c r="A65" s="339">
        <v>52</v>
      </c>
      <c r="B65" s="112" t="s">
        <v>524</v>
      </c>
      <c r="C65" s="211" t="s">
        <v>1126</v>
      </c>
      <c r="D65" s="113" t="s">
        <v>1125</v>
      </c>
      <c r="E65" s="114">
        <v>1989</v>
      </c>
      <c r="F65" s="115" t="s">
        <v>87</v>
      </c>
      <c r="G65" s="115">
        <v>5</v>
      </c>
      <c r="H65" s="116">
        <v>4</v>
      </c>
      <c r="I65" s="117">
        <v>3816.6</v>
      </c>
      <c r="J65" s="117">
        <v>3491</v>
      </c>
      <c r="K65" s="321">
        <v>185</v>
      </c>
      <c r="L65" s="117">
        <f>'Приложение 2 КСП 2018-2019 гг'!G67</f>
        <v>2106543.83</v>
      </c>
      <c r="M65" s="230">
        <v>0</v>
      </c>
      <c r="N65" s="230">
        <v>0</v>
      </c>
      <c r="O65" s="230">
        <v>0</v>
      </c>
      <c r="P65" s="230">
        <f t="shared" si="0"/>
        <v>2106543.83</v>
      </c>
      <c r="Q65" s="230">
        <v>0</v>
      </c>
      <c r="R65" s="230">
        <v>0</v>
      </c>
      <c r="S65" s="230" t="s">
        <v>585</v>
      </c>
      <c r="T65" s="41"/>
      <c r="U65" s="42"/>
    </row>
    <row r="66" spans="1:21" ht="9" hidden="1" customHeight="1">
      <c r="A66" s="339">
        <v>53</v>
      </c>
      <c r="B66" s="112" t="s">
        <v>525</v>
      </c>
      <c r="C66" s="211" t="s">
        <v>1126</v>
      </c>
      <c r="D66" s="113" t="s">
        <v>1125</v>
      </c>
      <c r="E66" s="114">
        <v>1988</v>
      </c>
      <c r="F66" s="115" t="s">
        <v>87</v>
      </c>
      <c r="G66" s="115">
        <v>5</v>
      </c>
      <c r="H66" s="116">
        <v>6</v>
      </c>
      <c r="I66" s="117">
        <v>5695.3</v>
      </c>
      <c r="J66" s="117">
        <v>5053</v>
      </c>
      <c r="K66" s="321">
        <v>227</v>
      </c>
      <c r="L66" s="117">
        <f>'Приложение 2 КСП 2018-2019 гг'!G68</f>
        <v>4790958</v>
      </c>
      <c r="M66" s="230">
        <v>0</v>
      </c>
      <c r="N66" s="230">
        <v>0</v>
      </c>
      <c r="O66" s="230">
        <v>0</v>
      </c>
      <c r="P66" s="230">
        <f t="shared" si="0"/>
        <v>4790958</v>
      </c>
      <c r="Q66" s="230">
        <v>0</v>
      </c>
      <c r="R66" s="230">
        <v>0</v>
      </c>
      <c r="S66" s="230" t="s">
        <v>585</v>
      </c>
      <c r="T66" s="41"/>
      <c r="U66" s="42"/>
    </row>
    <row r="67" spans="1:21" ht="9" hidden="1" customHeight="1">
      <c r="A67" s="339">
        <v>54</v>
      </c>
      <c r="B67" s="112" t="s">
        <v>526</v>
      </c>
      <c r="C67" s="211" t="s">
        <v>1126</v>
      </c>
      <c r="D67" s="113" t="s">
        <v>1125</v>
      </c>
      <c r="E67" s="114">
        <v>1962</v>
      </c>
      <c r="F67" s="115" t="s">
        <v>89</v>
      </c>
      <c r="G67" s="115">
        <v>5</v>
      </c>
      <c r="H67" s="116">
        <v>3</v>
      </c>
      <c r="I67" s="117">
        <v>2757.6</v>
      </c>
      <c r="J67" s="117">
        <v>2528.1000000000004</v>
      </c>
      <c r="K67" s="321">
        <v>106</v>
      </c>
      <c r="L67" s="117">
        <f>'Приложение 2 КСП 2018-2019 гг'!G69</f>
        <v>2720236.96</v>
      </c>
      <c r="M67" s="230">
        <v>0</v>
      </c>
      <c r="N67" s="230">
        <v>0</v>
      </c>
      <c r="O67" s="230">
        <v>0</v>
      </c>
      <c r="P67" s="230">
        <f t="shared" si="0"/>
        <v>2720236.96</v>
      </c>
      <c r="Q67" s="230">
        <v>0</v>
      </c>
      <c r="R67" s="230">
        <v>0</v>
      </c>
      <c r="S67" s="230" t="s">
        <v>585</v>
      </c>
      <c r="T67" s="41"/>
      <c r="U67" s="42"/>
    </row>
    <row r="68" spans="1:21" ht="9" hidden="1" customHeight="1">
      <c r="A68" s="339">
        <v>55</v>
      </c>
      <c r="B68" s="112" t="s">
        <v>527</v>
      </c>
      <c r="C68" s="211" t="s">
        <v>1126</v>
      </c>
      <c r="D68" s="113" t="s">
        <v>1125</v>
      </c>
      <c r="E68" s="114">
        <v>1980</v>
      </c>
      <c r="F68" s="115" t="s">
        <v>89</v>
      </c>
      <c r="G68" s="115">
        <v>5</v>
      </c>
      <c r="H68" s="116">
        <v>6</v>
      </c>
      <c r="I68" s="117">
        <v>5270.3</v>
      </c>
      <c r="J68" s="117">
        <v>4736.3</v>
      </c>
      <c r="K68" s="321">
        <v>241</v>
      </c>
      <c r="L68" s="117">
        <f>'Приложение 2 КСП 2018-2019 гг'!G70</f>
        <v>3838326.79</v>
      </c>
      <c r="M68" s="230">
        <v>0</v>
      </c>
      <c r="N68" s="230">
        <v>0</v>
      </c>
      <c r="O68" s="230">
        <v>0</v>
      </c>
      <c r="P68" s="230">
        <f t="shared" si="0"/>
        <v>3838326.79</v>
      </c>
      <c r="Q68" s="230">
        <v>0</v>
      </c>
      <c r="R68" s="230">
        <v>0</v>
      </c>
      <c r="S68" s="230" t="s">
        <v>585</v>
      </c>
      <c r="T68" s="41"/>
      <c r="U68" s="42"/>
    </row>
    <row r="69" spans="1:21" ht="9" hidden="1" customHeight="1">
      <c r="A69" s="339">
        <v>56</v>
      </c>
      <c r="B69" s="112" t="s">
        <v>528</v>
      </c>
      <c r="C69" s="211" t="s">
        <v>1126</v>
      </c>
      <c r="D69" s="113" t="s">
        <v>1125</v>
      </c>
      <c r="E69" s="114">
        <v>1968</v>
      </c>
      <c r="F69" s="115" t="s">
        <v>87</v>
      </c>
      <c r="G69" s="115">
        <v>5</v>
      </c>
      <c r="H69" s="116">
        <v>1</v>
      </c>
      <c r="I69" s="117">
        <v>4393</v>
      </c>
      <c r="J69" s="117">
        <v>1897.7</v>
      </c>
      <c r="K69" s="321">
        <v>145</v>
      </c>
      <c r="L69" s="117">
        <f>'Приложение 2 КСП 2018-2019 гг'!G71</f>
        <v>4259857.82</v>
      </c>
      <c r="M69" s="230">
        <v>0</v>
      </c>
      <c r="N69" s="230">
        <v>0</v>
      </c>
      <c r="O69" s="230">
        <v>0</v>
      </c>
      <c r="P69" s="230">
        <f t="shared" si="0"/>
        <v>4259857.82</v>
      </c>
      <c r="Q69" s="230">
        <v>0</v>
      </c>
      <c r="R69" s="230">
        <v>0</v>
      </c>
      <c r="S69" s="230" t="s">
        <v>585</v>
      </c>
      <c r="T69" s="41"/>
      <c r="U69" s="42"/>
    </row>
    <row r="70" spans="1:21" ht="9" hidden="1" customHeight="1">
      <c r="A70" s="339">
        <v>57</v>
      </c>
      <c r="B70" s="112" t="s">
        <v>529</v>
      </c>
      <c r="C70" s="211" t="s">
        <v>1126</v>
      </c>
      <c r="D70" s="113" t="s">
        <v>1125</v>
      </c>
      <c r="E70" s="114">
        <v>1988</v>
      </c>
      <c r="F70" s="115" t="s">
        <v>89</v>
      </c>
      <c r="G70" s="115">
        <v>9</v>
      </c>
      <c r="H70" s="116">
        <v>14</v>
      </c>
      <c r="I70" s="117">
        <v>31511.8</v>
      </c>
      <c r="J70" s="117">
        <v>27311.7</v>
      </c>
      <c r="K70" s="321">
        <v>6</v>
      </c>
      <c r="L70" s="117">
        <f>'Приложение 2 КСП 2018-2019 гг'!G72</f>
        <v>12286124.07</v>
      </c>
      <c r="M70" s="230">
        <v>0</v>
      </c>
      <c r="N70" s="230">
        <v>0</v>
      </c>
      <c r="O70" s="230">
        <v>0</v>
      </c>
      <c r="P70" s="230">
        <f t="shared" si="0"/>
        <v>12286124.07</v>
      </c>
      <c r="Q70" s="230">
        <v>0</v>
      </c>
      <c r="R70" s="230">
        <v>0</v>
      </c>
      <c r="S70" s="230" t="s">
        <v>585</v>
      </c>
      <c r="T70" s="41"/>
      <c r="U70" s="42"/>
    </row>
    <row r="71" spans="1:21" ht="9" hidden="1" customHeight="1">
      <c r="A71" s="339">
        <v>58</v>
      </c>
      <c r="B71" s="112" t="s">
        <v>530</v>
      </c>
      <c r="C71" s="211" t="s">
        <v>1126</v>
      </c>
      <c r="D71" s="113" t="s">
        <v>1125</v>
      </c>
      <c r="E71" s="114">
        <v>1986</v>
      </c>
      <c r="F71" s="115" t="s">
        <v>87</v>
      </c>
      <c r="G71" s="115">
        <v>5</v>
      </c>
      <c r="H71" s="116">
        <v>4</v>
      </c>
      <c r="I71" s="117">
        <v>3057.7</v>
      </c>
      <c r="J71" s="117">
        <v>2768.4</v>
      </c>
      <c r="K71" s="321">
        <v>25</v>
      </c>
      <c r="L71" s="117">
        <f>'Приложение 2 КСП 2018-2019 гг'!G73</f>
        <v>1671709.39</v>
      </c>
      <c r="M71" s="230">
        <v>0</v>
      </c>
      <c r="N71" s="230">
        <v>0</v>
      </c>
      <c r="O71" s="230">
        <v>0</v>
      </c>
      <c r="P71" s="230">
        <f t="shared" si="0"/>
        <v>1671709.39</v>
      </c>
      <c r="Q71" s="230">
        <v>0</v>
      </c>
      <c r="R71" s="230">
        <v>0</v>
      </c>
      <c r="S71" s="230" t="s">
        <v>585</v>
      </c>
      <c r="T71" s="41"/>
      <c r="U71" s="42"/>
    </row>
    <row r="72" spans="1:21" ht="9" hidden="1" customHeight="1">
      <c r="A72" s="339">
        <v>59</v>
      </c>
      <c r="B72" s="112" t="s">
        <v>531</v>
      </c>
      <c r="C72" s="211" t="s">
        <v>1126</v>
      </c>
      <c r="D72" s="113" t="s">
        <v>1125</v>
      </c>
      <c r="E72" s="114">
        <v>1973</v>
      </c>
      <c r="F72" s="115" t="s">
        <v>87</v>
      </c>
      <c r="G72" s="115">
        <v>5</v>
      </c>
      <c r="H72" s="116">
        <v>1</v>
      </c>
      <c r="I72" s="117">
        <v>3992.7</v>
      </c>
      <c r="J72" s="117">
        <v>2680.2</v>
      </c>
      <c r="K72" s="321">
        <v>11</v>
      </c>
      <c r="L72" s="117">
        <f>'Приложение 2 КСП 2018-2019 гг'!G74</f>
        <v>2604963.58</v>
      </c>
      <c r="M72" s="230">
        <v>0</v>
      </c>
      <c r="N72" s="230">
        <v>0</v>
      </c>
      <c r="O72" s="230">
        <v>0</v>
      </c>
      <c r="P72" s="230">
        <f t="shared" si="0"/>
        <v>2604963.58</v>
      </c>
      <c r="Q72" s="230">
        <v>0</v>
      </c>
      <c r="R72" s="230">
        <v>0</v>
      </c>
      <c r="S72" s="230" t="s">
        <v>585</v>
      </c>
      <c r="T72" s="41"/>
      <c r="U72" s="42"/>
    </row>
    <row r="73" spans="1:21" ht="9" hidden="1" customHeight="1">
      <c r="A73" s="339">
        <v>60</v>
      </c>
      <c r="B73" s="112" t="s">
        <v>532</v>
      </c>
      <c r="C73" s="211" t="s">
        <v>1126</v>
      </c>
      <c r="D73" s="113" t="s">
        <v>1125</v>
      </c>
      <c r="E73" s="114">
        <v>1967</v>
      </c>
      <c r="F73" s="115" t="s">
        <v>87</v>
      </c>
      <c r="G73" s="115">
        <v>5</v>
      </c>
      <c r="H73" s="116">
        <v>2</v>
      </c>
      <c r="I73" s="117">
        <v>1902.2</v>
      </c>
      <c r="J73" s="117">
        <v>1751.2</v>
      </c>
      <c r="K73" s="321">
        <v>59</v>
      </c>
      <c r="L73" s="117">
        <f>'Приложение 2 КСП 2018-2019 гг'!G75</f>
        <v>2376156.11</v>
      </c>
      <c r="M73" s="230">
        <v>0</v>
      </c>
      <c r="N73" s="230">
        <v>0</v>
      </c>
      <c r="O73" s="230">
        <v>0</v>
      </c>
      <c r="P73" s="230">
        <f t="shared" si="0"/>
        <v>2376156.11</v>
      </c>
      <c r="Q73" s="230">
        <v>0</v>
      </c>
      <c r="R73" s="230">
        <v>0</v>
      </c>
      <c r="S73" s="230" t="s">
        <v>585</v>
      </c>
      <c r="T73" s="41"/>
      <c r="U73" s="42"/>
    </row>
    <row r="74" spans="1:21" ht="9" hidden="1" customHeight="1">
      <c r="A74" s="339">
        <v>61</v>
      </c>
      <c r="B74" s="112" t="s">
        <v>533</v>
      </c>
      <c r="C74" s="211" t="s">
        <v>1126</v>
      </c>
      <c r="D74" s="113" t="s">
        <v>1125</v>
      </c>
      <c r="E74" s="114">
        <v>1963</v>
      </c>
      <c r="F74" s="115" t="s">
        <v>87</v>
      </c>
      <c r="G74" s="115">
        <v>4</v>
      </c>
      <c r="H74" s="116">
        <v>2</v>
      </c>
      <c r="I74" s="117">
        <v>1342.5</v>
      </c>
      <c r="J74" s="117">
        <v>1207.5999999999999</v>
      </c>
      <c r="K74" s="321">
        <v>53</v>
      </c>
      <c r="L74" s="117">
        <f>'Приложение 2 КСП 2018-2019 гг'!G76</f>
        <v>2083576.24</v>
      </c>
      <c r="M74" s="230">
        <v>0</v>
      </c>
      <c r="N74" s="230">
        <v>0</v>
      </c>
      <c r="O74" s="230">
        <v>0</v>
      </c>
      <c r="P74" s="230">
        <f t="shared" si="0"/>
        <v>2083576.24</v>
      </c>
      <c r="Q74" s="230">
        <v>0</v>
      </c>
      <c r="R74" s="230">
        <v>0</v>
      </c>
      <c r="S74" s="230" t="s">
        <v>585</v>
      </c>
      <c r="T74" s="41"/>
      <c r="U74" s="42"/>
    </row>
    <row r="75" spans="1:21" ht="9" hidden="1" customHeight="1">
      <c r="A75" s="339">
        <v>62</v>
      </c>
      <c r="B75" s="112" t="s">
        <v>534</v>
      </c>
      <c r="C75" s="211" t="s">
        <v>1126</v>
      </c>
      <c r="D75" s="113" t="s">
        <v>1125</v>
      </c>
      <c r="E75" s="114">
        <v>1977</v>
      </c>
      <c r="F75" s="115" t="s">
        <v>617</v>
      </c>
      <c r="G75" s="115">
        <v>5</v>
      </c>
      <c r="H75" s="116">
        <v>5</v>
      </c>
      <c r="I75" s="117">
        <v>3703.1</v>
      </c>
      <c r="J75" s="117">
        <v>3071.7</v>
      </c>
      <c r="K75" s="321">
        <v>165</v>
      </c>
      <c r="L75" s="117">
        <f>'Приложение 2 КСП 2018-2019 гг'!G77</f>
        <v>3393891.85</v>
      </c>
      <c r="M75" s="230">
        <v>0</v>
      </c>
      <c r="N75" s="230">
        <v>0</v>
      </c>
      <c r="O75" s="230">
        <v>0</v>
      </c>
      <c r="P75" s="230">
        <f t="shared" si="0"/>
        <v>3393891.85</v>
      </c>
      <c r="Q75" s="230">
        <v>0</v>
      </c>
      <c r="R75" s="230">
        <v>0</v>
      </c>
      <c r="S75" s="230" t="s">
        <v>585</v>
      </c>
      <c r="T75" s="41"/>
      <c r="U75" s="42"/>
    </row>
    <row r="76" spans="1:21" ht="9" hidden="1" customHeight="1">
      <c r="A76" s="339">
        <v>63</v>
      </c>
      <c r="B76" s="112" t="s">
        <v>535</v>
      </c>
      <c r="C76" s="211" t="s">
        <v>1126</v>
      </c>
      <c r="D76" s="113" t="s">
        <v>1125</v>
      </c>
      <c r="E76" s="114">
        <v>1976</v>
      </c>
      <c r="F76" s="115" t="s">
        <v>89</v>
      </c>
      <c r="G76" s="115">
        <v>5</v>
      </c>
      <c r="H76" s="116">
        <v>8</v>
      </c>
      <c r="I76" s="117">
        <v>6173.8</v>
      </c>
      <c r="J76" s="117">
        <v>5535.8</v>
      </c>
      <c r="K76" s="321">
        <v>262</v>
      </c>
      <c r="L76" s="117">
        <f>'Приложение 2 КСП 2018-2019 гг'!G78</f>
        <v>5142612.17</v>
      </c>
      <c r="M76" s="230">
        <v>0</v>
      </c>
      <c r="N76" s="230">
        <v>0</v>
      </c>
      <c r="O76" s="230">
        <v>0</v>
      </c>
      <c r="P76" s="230">
        <f t="shared" si="0"/>
        <v>5142612.17</v>
      </c>
      <c r="Q76" s="230">
        <v>0</v>
      </c>
      <c r="R76" s="230">
        <v>0</v>
      </c>
      <c r="S76" s="230" t="s">
        <v>585</v>
      </c>
      <c r="T76" s="41"/>
      <c r="U76" s="42"/>
    </row>
    <row r="77" spans="1:21" ht="9" hidden="1" customHeight="1">
      <c r="A77" s="339">
        <v>64</v>
      </c>
      <c r="B77" s="112" t="s">
        <v>536</v>
      </c>
      <c r="C77" s="211" t="s">
        <v>1126</v>
      </c>
      <c r="D77" s="113" t="s">
        <v>1125</v>
      </c>
      <c r="E77" s="114">
        <v>1984</v>
      </c>
      <c r="F77" s="115" t="s">
        <v>89</v>
      </c>
      <c r="G77" s="115">
        <v>5</v>
      </c>
      <c r="H77" s="116">
        <v>5</v>
      </c>
      <c r="I77" s="117">
        <v>4206</v>
      </c>
      <c r="J77" s="117">
        <v>3791</v>
      </c>
      <c r="K77" s="321">
        <v>158</v>
      </c>
      <c r="L77" s="117">
        <f>'Приложение 2 КСП 2018-2019 гг'!G79</f>
        <v>3563423.44</v>
      </c>
      <c r="M77" s="230">
        <v>0</v>
      </c>
      <c r="N77" s="230">
        <v>0</v>
      </c>
      <c r="O77" s="230">
        <v>0</v>
      </c>
      <c r="P77" s="230">
        <f t="shared" si="0"/>
        <v>3563423.44</v>
      </c>
      <c r="Q77" s="230">
        <v>0</v>
      </c>
      <c r="R77" s="230">
        <v>0</v>
      </c>
      <c r="S77" s="230" t="s">
        <v>585</v>
      </c>
      <c r="T77" s="41"/>
      <c r="U77" s="42"/>
    </row>
    <row r="78" spans="1:21" ht="9" hidden="1" customHeight="1">
      <c r="A78" s="339">
        <v>65</v>
      </c>
      <c r="B78" s="112" t="s">
        <v>537</v>
      </c>
      <c r="C78" s="211" t="s">
        <v>1126</v>
      </c>
      <c r="D78" s="113" t="s">
        <v>1125</v>
      </c>
      <c r="E78" s="114">
        <v>1970</v>
      </c>
      <c r="F78" s="115" t="s">
        <v>89</v>
      </c>
      <c r="G78" s="115">
        <v>5</v>
      </c>
      <c r="H78" s="116">
        <v>4</v>
      </c>
      <c r="I78" s="117">
        <v>4282.7</v>
      </c>
      <c r="J78" s="117">
        <v>3980.7</v>
      </c>
      <c r="K78" s="321">
        <v>186</v>
      </c>
      <c r="L78" s="117">
        <f>'Приложение 2 КСП 2018-2019 гг'!G80</f>
        <v>7292642.3999999994</v>
      </c>
      <c r="M78" s="230">
        <v>0</v>
      </c>
      <c r="N78" s="230">
        <v>0</v>
      </c>
      <c r="O78" s="230">
        <v>0</v>
      </c>
      <c r="P78" s="230">
        <f t="shared" si="0"/>
        <v>7292642.3999999994</v>
      </c>
      <c r="Q78" s="230">
        <v>0</v>
      </c>
      <c r="R78" s="230">
        <v>0</v>
      </c>
      <c r="S78" s="230" t="s">
        <v>585</v>
      </c>
      <c r="T78" s="41"/>
      <c r="U78" s="42"/>
    </row>
    <row r="79" spans="1:21" ht="9" hidden="1" customHeight="1">
      <c r="A79" s="339">
        <v>66</v>
      </c>
      <c r="B79" s="112" t="s">
        <v>538</v>
      </c>
      <c r="C79" s="211" t="s">
        <v>1126</v>
      </c>
      <c r="D79" s="113" t="s">
        <v>1125</v>
      </c>
      <c r="E79" s="114">
        <v>1973</v>
      </c>
      <c r="F79" s="115" t="s">
        <v>87</v>
      </c>
      <c r="G79" s="115">
        <v>5</v>
      </c>
      <c r="H79" s="116">
        <v>2</v>
      </c>
      <c r="I79" s="117">
        <v>2089.1999999999998</v>
      </c>
      <c r="J79" s="117">
        <v>1781.2</v>
      </c>
      <c r="K79" s="321">
        <v>103</v>
      </c>
      <c r="L79" s="117">
        <f>'Приложение 2 КСП 2018-2019 гг'!G81</f>
        <v>2423812.4900000002</v>
      </c>
      <c r="M79" s="230">
        <v>0</v>
      </c>
      <c r="N79" s="230">
        <v>0</v>
      </c>
      <c r="O79" s="230">
        <v>0</v>
      </c>
      <c r="P79" s="230">
        <f t="shared" si="0"/>
        <v>2423812.4900000002</v>
      </c>
      <c r="Q79" s="230">
        <v>0</v>
      </c>
      <c r="R79" s="230">
        <v>0</v>
      </c>
      <c r="S79" s="230" t="s">
        <v>585</v>
      </c>
      <c r="T79" s="41"/>
      <c r="U79" s="42"/>
    </row>
    <row r="80" spans="1:21" ht="9" hidden="1" customHeight="1">
      <c r="A80" s="339">
        <v>67</v>
      </c>
      <c r="B80" s="112" t="s">
        <v>539</v>
      </c>
      <c r="C80" s="211" t="s">
        <v>1126</v>
      </c>
      <c r="D80" s="113" t="s">
        <v>1125</v>
      </c>
      <c r="E80" s="114">
        <v>1982</v>
      </c>
      <c r="F80" s="115" t="s">
        <v>87</v>
      </c>
      <c r="G80" s="115">
        <v>4</v>
      </c>
      <c r="H80" s="116">
        <v>1</v>
      </c>
      <c r="I80" s="117">
        <v>1872.85</v>
      </c>
      <c r="J80" s="117">
        <v>1653.8</v>
      </c>
      <c r="K80" s="321">
        <v>87</v>
      </c>
      <c r="L80" s="117">
        <f>'Приложение 2 КСП 2018-2019 гг'!G82</f>
        <v>1800988.29</v>
      </c>
      <c r="M80" s="230">
        <v>0</v>
      </c>
      <c r="N80" s="230">
        <v>0</v>
      </c>
      <c r="O80" s="230">
        <v>0</v>
      </c>
      <c r="P80" s="230">
        <f t="shared" ref="P80:P143" si="1">L80</f>
        <v>1800988.29</v>
      </c>
      <c r="Q80" s="230">
        <v>0</v>
      </c>
      <c r="R80" s="230">
        <v>0</v>
      </c>
      <c r="S80" s="230" t="s">
        <v>585</v>
      </c>
      <c r="T80" s="41"/>
      <c r="U80" s="42"/>
    </row>
    <row r="81" spans="1:21" ht="9" hidden="1" customHeight="1">
      <c r="A81" s="339">
        <v>68</v>
      </c>
      <c r="B81" s="112" t="s">
        <v>540</v>
      </c>
      <c r="C81" s="211" t="s">
        <v>1126</v>
      </c>
      <c r="D81" s="113" t="s">
        <v>1125</v>
      </c>
      <c r="E81" s="114">
        <v>1982</v>
      </c>
      <c r="F81" s="115" t="s">
        <v>89</v>
      </c>
      <c r="G81" s="115">
        <v>5</v>
      </c>
      <c r="H81" s="116">
        <v>5</v>
      </c>
      <c r="I81" s="117">
        <v>4060.2</v>
      </c>
      <c r="J81" s="117">
        <v>3742.7</v>
      </c>
      <c r="K81" s="321">
        <v>194</v>
      </c>
      <c r="L81" s="117">
        <f>'Приложение 2 КСП 2018-2019 гг'!G83</f>
        <v>2785010.45</v>
      </c>
      <c r="M81" s="144">
        <v>0</v>
      </c>
      <c r="N81" s="144">
        <v>0</v>
      </c>
      <c r="O81" s="230">
        <v>0</v>
      </c>
      <c r="P81" s="230">
        <f t="shared" si="1"/>
        <v>2785010.45</v>
      </c>
      <c r="Q81" s="144">
        <v>0</v>
      </c>
      <c r="R81" s="144">
        <v>0</v>
      </c>
      <c r="S81" s="144" t="s">
        <v>585</v>
      </c>
      <c r="T81" s="41"/>
      <c r="U81" s="42"/>
    </row>
    <row r="82" spans="1:21" ht="9" hidden="1" customHeight="1">
      <c r="A82" s="339">
        <v>69</v>
      </c>
      <c r="B82" s="112" t="s">
        <v>541</v>
      </c>
      <c r="C82" s="211" t="s">
        <v>1126</v>
      </c>
      <c r="D82" s="113" t="s">
        <v>1125</v>
      </c>
      <c r="E82" s="114">
        <v>1988</v>
      </c>
      <c r="F82" s="115" t="s">
        <v>89</v>
      </c>
      <c r="G82" s="115">
        <v>5</v>
      </c>
      <c r="H82" s="116">
        <v>4</v>
      </c>
      <c r="I82" s="117">
        <v>3096.1</v>
      </c>
      <c r="J82" s="117">
        <v>2779</v>
      </c>
      <c r="K82" s="321">
        <v>127</v>
      </c>
      <c r="L82" s="117">
        <f>'Приложение 2 КСП 2018-2019 гг'!G84</f>
        <v>2154215.33</v>
      </c>
      <c r="M82" s="144">
        <v>0</v>
      </c>
      <c r="N82" s="144">
        <v>0</v>
      </c>
      <c r="O82" s="230">
        <v>0</v>
      </c>
      <c r="P82" s="230">
        <f t="shared" si="1"/>
        <v>2154215.33</v>
      </c>
      <c r="Q82" s="144">
        <v>0</v>
      </c>
      <c r="R82" s="144">
        <v>0</v>
      </c>
      <c r="S82" s="144" t="s">
        <v>585</v>
      </c>
      <c r="T82" s="41"/>
      <c r="U82" s="42"/>
    </row>
    <row r="83" spans="1:21" ht="9" hidden="1" customHeight="1">
      <c r="A83" s="339">
        <v>70</v>
      </c>
      <c r="B83" s="112" t="s">
        <v>542</v>
      </c>
      <c r="C83" s="211" t="s">
        <v>1126</v>
      </c>
      <c r="D83" s="113" t="s">
        <v>1125</v>
      </c>
      <c r="E83" s="114">
        <v>1974</v>
      </c>
      <c r="F83" s="115" t="s">
        <v>89</v>
      </c>
      <c r="G83" s="115">
        <v>5</v>
      </c>
      <c r="H83" s="116">
        <v>4</v>
      </c>
      <c r="I83" s="117">
        <v>3632.9</v>
      </c>
      <c r="J83" s="117">
        <v>3248</v>
      </c>
      <c r="K83" s="321">
        <v>148</v>
      </c>
      <c r="L83" s="117">
        <f>'Приложение 2 КСП 2018-2019 гг'!G85</f>
        <v>2444281.84</v>
      </c>
      <c r="M83" s="144">
        <v>0</v>
      </c>
      <c r="N83" s="144">
        <v>0</v>
      </c>
      <c r="O83" s="230">
        <v>0</v>
      </c>
      <c r="P83" s="230">
        <f t="shared" si="1"/>
        <v>2444281.84</v>
      </c>
      <c r="Q83" s="144">
        <v>0</v>
      </c>
      <c r="R83" s="144">
        <v>0</v>
      </c>
      <c r="S83" s="144" t="s">
        <v>585</v>
      </c>
      <c r="T83" s="41"/>
      <c r="U83" s="42"/>
    </row>
    <row r="84" spans="1:21" ht="9" hidden="1" customHeight="1">
      <c r="A84" s="339">
        <v>71</v>
      </c>
      <c r="B84" s="112" t="s">
        <v>543</v>
      </c>
      <c r="C84" s="211" t="s">
        <v>1126</v>
      </c>
      <c r="D84" s="113" t="s">
        <v>1125</v>
      </c>
      <c r="E84" s="114">
        <v>1975</v>
      </c>
      <c r="F84" s="115" t="s">
        <v>87</v>
      </c>
      <c r="G84" s="115">
        <v>9</v>
      </c>
      <c r="H84" s="116">
        <v>1</v>
      </c>
      <c r="I84" s="117">
        <v>2257.6</v>
      </c>
      <c r="J84" s="117">
        <v>2005.6</v>
      </c>
      <c r="K84" s="321">
        <v>102</v>
      </c>
      <c r="L84" s="117">
        <f>'Приложение 2 КСП 2018-2019 гг'!G86</f>
        <v>911744.77</v>
      </c>
      <c r="M84" s="144">
        <v>0</v>
      </c>
      <c r="N84" s="144">
        <v>0</v>
      </c>
      <c r="O84" s="230">
        <v>0</v>
      </c>
      <c r="P84" s="230">
        <f t="shared" si="1"/>
        <v>911744.77</v>
      </c>
      <c r="Q84" s="144">
        <v>0</v>
      </c>
      <c r="R84" s="144">
        <v>0</v>
      </c>
      <c r="S84" s="144" t="s">
        <v>585</v>
      </c>
      <c r="T84" s="41"/>
      <c r="U84" s="42"/>
    </row>
    <row r="85" spans="1:21" ht="9" hidden="1" customHeight="1">
      <c r="A85" s="339">
        <v>72</v>
      </c>
      <c r="B85" s="112" t="s">
        <v>544</v>
      </c>
      <c r="C85" s="211" t="s">
        <v>1126</v>
      </c>
      <c r="D85" s="113" t="s">
        <v>1125</v>
      </c>
      <c r="E85" s="114">
        <v>1975</v>
      </c>
      <c r="F85" s="115" t="s">
        <v>87</v>
      </c>
      <c r="G85" s="115">
        <v>9</v>
      </c>
      <c r="H85" s="116">
        <v>1</v>
      </c>
      <c r="I85" s="117">
        <v>2248.1</v>
      </c>
      <c r="J85" s="117">
        <v>1995.1</v>
      </c>
      <c r="K85" s="321">
        <v>100</v>
      </c>
      <c r="L85" s="117">
        <f>'Приложение 2 КСП 2018-2019 гг'!G87</f>
        <v>2171130.85</v>
      </c>
      <c r="M85" s="144">
        <v>0</v>
      </c>
      <c r="N85" s="144">
        <v>0</v>
      </c>
      <c r="O85" s="230">
        <v>0</v>
      </c>
      <c r="P85" s="230">
        <f t="shared" si="1"/>
        <v>2171130.85</v>
      </c>
      <c r="Q85" s="144">
        <v>0</v>
      </c>
      <c r="R85" s="144">
        <v>0</v>
      </c>
      <c r="S85" s="144" t="s">
        <v>585</v>
      </c>
      <c r="T85" s="41"/>
      <c r="U85" s="42"/>
    </row>
    <row r="86" spans="1:21" ht="9" hidden="1" customHeight="1">
      <c r="A86" s="339">
        <v>73</v>
      </c>
      <c r="B86" s="112" t="s">
        <v>545</v>
      </c>
      <c r="C86" s="211" t="s">
        <v>1126</v>
      </c>
      <c r="D86" s="113" t="s">
        <v>1125</v>
      </c>
      <c r="E86" s="114">
        <v>1975</v>
      </c>
      <c r="F86" s="115" t="s">
        <v>87</v>
      </c>
      <c r="G86" s="115">
        <v>9</v>
      </c>
      <c r="H86" s="116">
        <v>1</v>
      </c>
      <c r="I86" s="117">
        <v>2265.6</v>
      </c>
      <c r="J86" s="117">
        <v>2012.6</v>
      </c>
      <c r="K86" s="321">
        <v>96</v>
      </c>
      <c r="L86" s="117">
        <f>'Приложение 2 КСП 2018-2019 гг'!G88</f>
        <v>911134.59</v>
      </c>
      <c r="M86" s="144">
        <v>0</v>
      </c>
      <c r="N86" s="144">
        <v>0</v>
      </c>
      <c r="O86" s="230">
        <v>0</v>
      </c>
      <c r="P86" s="230">
        <f t="shared" si="1"/>
        <v>911134.59</v>
      </c>
      <c r="Q86" s="144">
        <v>0</v>
      </c>
      <c r="R86" s="144">
        <v>0</v>
      </c>
      <c r="S86" s="144" t="s">
        <v>585</v>
      </c>
      <c r="T86" s="41"/>
      <c r="U86" s="42"/>
    </row>
    <row r="87" spans="1:21" ht="9" hidden="1" customHeight="1">
      <c r="A87" s="339">
        <v>74</v>
      </c>
      <c r="B87" s="112" t="s">
        <v>546</v>
      </c>
      <c r="C87" s="211" t="s">
        <v>1126</v>
      </c>
      <c r="D87" s="113" t="s">
        <v>1125</v>
      </c>
      <c r="E87" s="114">
        <v>1967</v>
      </c>
      <c r="F87" s="115" t="s">
        <v>87</v>
      </c>
      <c r="G87" s="115">
        <v>5</v>
      </c>
      <c r="H87" s="116">
        <v>4</v>
      </c>
      <c r="I87" s="117">
        <v>2914.2</v>
      </c>
      <c r="J87" s="117">
        <v>2576.9</v>
      </c>
      <c r="K87" s="321">
        <v>121</v>
      </c>
      <c r="L87" s="117">
        <f>'Приложение 2 КСП 2018-2019 гг'!G89</f>
        <v>3062086.2</v>
      </c>
      <c r="M87" s="144">
        <v>0</v>
      </c>
      <c r="N87" s="144">
        <v>0</v>
      </c>
      <c r="O87" s="230">
        <v>0</v>
      </c>
      <c r="P87" s="230">
        <f t="shared" si="1"/>
        <v>3062086.2</v>
      </c>
      <c r="Q87" s="144">
        <v>0</v>
      </c>
      <c r="R87" s="144">
        <v>0</v>
      </c>
      <c r="S87" s="144" t="s">
        <v>585</v>
      </c>
      <c r="T87" s="41"/>
      <c r="U87" s="42"/>
    </row>
    <row r="88" spans="1:21" ht="9" hidden="1" customHeight="1">
      <c r="A88" s="339">
        <v>75</v>
      </c>
      <c r="B88" s="112" t="s">
        <v>547</v>
      </c>
      <c r="C88" s="211" t="s">
        <v>1126</v>
      </c>
      <c r="D88" s="113" t="s">
        <v>1125</v>
      </c>
      <c r="E88" s="114">
        <v>1965</v>
      </c>
      <c r="F88" s="115" t="s">
        <v>89</v>
      </c>
      <c r="G88" s="115">
        <v>5</v>
      </c>
      <c r="H88" s="116">
        <v>4</v>
      </c>
      <c r="I88" s="117">
        <v>3871.3</v>
      </c>
      <c r="J88" s="117">
        <v>3568.3</v>
      </c>
      <c r="K88" s="321">
        <v>177</v>
      </c>
      <c r="L88" s="117">
        <f>'Приложение 2 КСП 2018-2019 гг'!G90</f>
        <v>3804529.18</v>
      </c>
      <c r="M88" s="144">
        <v>0</v>
      </c>
      <c r="N88" s="144">
        <v>0</v>
      </c>
      <c r="O88" s="230">
        <v>0</v>
      </c>
      <c r="P88" s="230">
        <f t="shared" si="1"/>
        <v>3804529.18</v>
      </c>
      <c r="Q88" s="144">
        <v>0</v>
      </c>
      <c r="R88" s="144">
        <v>0</v>
      </c>
      <c r="S88" s="144" t="s">
        <v>585</v>
      </c>
      <c r="T88" s="41"/>
      <c r="U88" s="42"/>
    </row>
    <row r="89" spans="1:21" ht="9" hidden="1" customHeight="1">
      <c r="A89" s="339">
        <v>76</v>
      </c>
      <c r="B89" s="112" t="s">
        <v>548</v>
      </c>
      <c r="C89" s="211" t="s">
        <v>1127</v>
      </c>
      <c r="D89" s="113" t="s">
        <v>1125</v>
      </c>
      <c r="E89" s="114">
        <v>1954</v>
      </c>
      <c r="F89" s="115" t="s">
        <v>87</v>
      </c>
      <c r="G89" s="115">
        <v>4</v>
      </c>
      <c r="H89" s="116">
        <v>4</v>
      </c>
      <c r="I89" s="117">
        <v>4353.3</v>
      </c>
      <c r="J89" s="117">
        <v>3946.7</v>
      </c>
      <c r="K89" s="321">
        <v>81</v>
      </c>
      <c r="L89" s="117">
        <f>'Приложение 2 КСП 2018-2019 гг'!G91</f>
        <v>4598748</v>
      </c>
      <c r="M89" s="144">
        <v>0</v>
      </c>
      <c r="N89" s="144">
        <v>0</v>
      </c>
      <c r="O89" s="230">
        <v>0</v>
      </c>
      <c r="P89" s="230">
        <f t="shared" si="1"/>
        <v>4598748</v>
      </c>
      <c r="Q89" s="144">
        <v>0</v>
      </c>
      <c r="R89" s="144">
        <v>0</v>
      </c>
      <c r="S89" s="144" t="s">
        <v>585</v>
      </c>
      <c r="T89" s="41"/>
      <c r="U89" s="42"/>
    </row>
    <row r="90" spans="1:21" ht="9" hidden="1" customHeight="1">
      <c r="A90" s="339">
        <v>77</v>
      </c>
      <c r="B90" s="112" t="s">
        <v>549</v>
      </c>
      <c r="C90" s="211" t="s">
        <v>1126</v>
      </c>
      <c r="D90" s="113" t="s">
        <v>1125</v>
      </c>
      <c r="E90" s="114">
        <v>1968</v>
      </c>
      <c r="F90" s="115" t="s">
        <v>87</v>
      </c>
      <c r="G90" s="115">
        <v>5</v>
      </c>
      <c r="H90" s="116">
        <v>1</v>
      </c>
      <c r="I90" s="117">
        <v>3852.3</v>
      </c>
      <c r="J90" s="117">
        <v>2555</v>
      </c>
      <c r="K90" s="321">
        <v>10</v>
      </c>
      <c r="L90" s="117">
        <f>'Приложение 2 КСП 2018-2019 гг'!G92</f>
        <v>2612387.04</v>
      </c>
      <c r="M90" s="144">
        <v>0</v>
      </c>
      <c r="N90" s="144">
        <v>0</v>
      </c>
      <c r="O90" s="230">
        <v>0</v>
      </c>
      <c r="P90" s="230">
        <f t="shared" si="1"/>
        <v>2612387.04</v>
      </c>
      <c r="Q90" s="144">
        <v>0</v>
      </c>
      <c r="R90" s="144">
        <v>0</v>
      </c>
      <c r="S90" s="144" t="s">
        <v>585</v>
      </c>
      <c r="T90" s="41"/>
      <c r="U90" s="42"/>
    </row>
    <row r="91" spans="1:21" ht="9" hidden="1" customHeight="1">
      <c r="A91" s="339">
        <v>78</v>
      </c>
      <c r="B91" s="112" t="s">
        <v>550</v>
      </c>
      <c r="C91" s="211" t="s">
        <v>1126</v>
      </c>
      <c r="D91" s="113" t="s">
        <v>1125</v>
      </c>
      <c r="E91" s="114">
        <v>1976</v>
      </c>
      <c r="F91" s="115" t="s">
        <v>89</v>
      </c>
      <c r="G91" s="115">
        <v>5</v>
      </c>
      <c r="H91" s="116">
        <v>4</v>
      </c>
      <c r="I91" s="117">
        <v>4195.7</v>
      </c>
      <c r="J91" s="117">
        <v>3905.7</v>
      </c>
      <c r="K91" s="321">
        <v>146</v>
      </c>
      <c r="L91" s="117">
        <f>'Приложение 2 КСП 2018-2019 гг'!G93</f>
        <v>2646068.9</v>
      </c>
      <c r="M91" s="144">
        <v>0</v>
      </c>
      <c r="N91" s="144">
        <v>0</v>
      </c>
      <c r="O91" s="230">
        <v>0</v>
      </c>
      <c r="P91" s="230">
        <f t="shared" si="1"/>
        <v>2646068.9</v>
      </c>
      <c r="Q91" s="144">
        <v>0</v>
      </c>
      <c r="R91" s="144">
        <v>0</v>
      </c>
      <c r="S91" s="144" t="s">
        <v>585</v>
      </c>
      <c r="T91" s="41"/>
      <c r="U91" s="42"/>
    </row>
    <row r="92" spans="1:21" ht="9" hidden="1" customHeight="1">
      <c r="A92" s="339">
        <v>79</v>
      </c>
      <c r="B92" s="112" t="s">
        <v>551</v>
      </c>
      <c r="C92" s="211" t="s">
        <v>1126</v>
      </c>
      <c r="D92" s="113" t="s">
        <v>1125</v>
      </c>
      <c r="E92" s="114">
        <v>1971</v>
      </c>
      <c r="F92" s="115" t="s">
        <v>89</v>
      </c>
      <c r="G92" s="115">
        <v>5</v>
      </c>
      <c r="H92" s="116">
        <v>2</v>
      </c>
      <c r="I92" s="117">
        <v>2423.1</v>
      </c>
      <c r="J92" s="117">
        <v>1413.7</v>
      </c>
      <c r="K92" s="321">
        <v>157</v>
      </c>
      <c r="L92" s="117">
        <f>'Приложение 2 КСП 2018-2019 гг'!G94</f>
        <v>2354302.9500000002</v>
      </c>
      <c r="M92" s="144">
        <v>0</v>
      </c>
      <c r="N92" s="144">
        <v>0</v>
      </c>
      <c r="O92" s="230">
        <v>0</v>
      </c>
      <c r="P92" s="230">
        <f t="shared" si="1"/>
        <v>2354302.9500000002</v>
      </c>
      <c r="Q92" s="144">
        <v>0</v>
      </c>
      <c r="R92" s="144">
        <v>0</v>
      </c>
      <c r="S92" s="144" t="s">
        <v>585</v>
      </c>
      <c r="T92" s="41"/>
      <c r="U92" s="42"/>
    </row>
    <row r="93" spans="1:21" ht="9" hidden="1" customHeight="1">
      <c r="A93" s="339">
        <v>80</v>
      </c>
      <c r="B93" s="112" t="s">
        <v>552</v>
      </c>
      <c r="C93" s="211" t="s">
        <v>1126</v>
      </c>
      <c r="D93" s="113" t="s">
        <v>1125</v>
      </c>
      <c r="E93" s="114">
        <v>1972</v>
      </c>
      <c r="F93" s="115" t="s">
        <v>87</v>
      </c>
      <c r="G93" s="115">
        <v>5</v>
      </c>
      <c r="H93" s="116">
        <v>8</v>
      </c>
      <c r="I93" s="117">
        <v>6335.34</v>
      </c>
      <c r="J93" s="117">
        <v>5665.74</v>
      </c>
      <c r="K93" s="321">
        <v>236</v>
      </c>
      <c r="L93" s="117">
        <f>'Приложение 2 КСП 2018-2019 гг'!G95</f>
        <v>6825238.0199999996</v>
      </c>
      <c r="M93" s="144">
        <v>0</v>
      </c>
      <c r="N93" s="144">
        <v>0</v>
      </c>
      <c r="O93" s="230">
        <v>0</v>
      </c>
      <c r="P93" s="230">
        <f t="shared" si="1"/>
        <v>6825238.0199999996</v>
      </c>
      <c r="Q93" s="144">
        <v>0</v>
      </c>
      <c r="R93" s="144">
        <v>0</v>
      </c>
      <c r="S93" s="144" t="s">
        <v>585</v>
      </c>
      <c r="T93" s="41"/>
      <c r="U93" s="42"/>
    </row>
    <row r="94" spans="1:21" ht="9" hidden="1" customHeight="1">
      <c r="A94" s="339">
        <v>81</v>
      </c>
      <c r="B94" s="112" t="s">
        <v>553</v>
      </c>
      <c r="C94" s="211" t="s">
        <v>1126</v>
      </c>
      <c r="D94" s="113" t="s">
        <v>1125</v>
      </c>
      <c r="E94" s="114">
        <v>1985</v>
      </c>
      <c r="F94" s="115" t="s">
        <v>87</v>
      </c>
      <c r="G94" s="115">
        <v>5</v>
      </c>
      <c r="H94" s="116">
        <v>2</v>
      </c>
      <c r="I94" s="117">
        <v>1609.2</v>
      </c>
      <c r="J94" s="117">
        <v>1494.3</v>
      </c>
      <c r="K94" s="321">
        <v>68</v>
      </c>
      <c r="L94" s="117">
        <f>'Приложение 2 КСП 2018-2019 гг'!G96</f>
        <v>1846074</v>
      </c>
      <c r="M94" s="144">
        <v>0</v>
      </c>
      <c r="N94" s="144">
        <v>0</v>
      </c>
      <c r="O94" s="230">
        <v>0</v>
      </c>
      <c r="P94" s="230">
        <f t="shared" si="1"/>
        <v>1846074</v>
      </c>
      <c r="Q94" s="144">
        <v>0</v>
      </c>
      <c r="R94" s="144">
        <v>0</v>
      </c>
      <c r="S94" s="144" t="s">
        <v>585</v>
      </c>
      <c r="T94" s="41"/>
      <c r="U94" s="42"/>
    </row>
    <row r="95" spans="1:21" ht="9" hidden="1" customHeight="1">
      <c r="A95" s="339">
        <v>82</v>
      </c>
      <c r="B95" s="112" t="s">
        <v>554</v>
      </c>
      <c r="C95" s="211" t="s">
        <v>1126</v>
      </c>
      <c r="D95" s="113" t="s">
        <v>1125</v>
      </c>
      <c r="E95" s="114">
        <v>1972</v>
      </c>
      <c r="F95" s="115" t="s">
        <v>89</v>
      </c>
      <c r="G95" s="115">
        <v>5</v>
      </c>
      <c r="H95" s="116">
        <v>8</v>
      </c>
      <c r="I95" s="117">
        <v>6103.9</v>
      </c>
      <c r="J95" s="117">
        <v>5585.9</v>
      </c>
      <c r="K95" s="321">
        <v>246</v>
      </c>
      <c r="L95" s="117">
        <f>'Приложение 2 КСП 2018-2019 гг'!G97</f>
        <v>5483355.4500000002</v>
      </c>
      <c r="M95" s="144">
        <v>0</v>
      </c>
      <c r="N95" s="144">
        <v>0</v>
      </c>
      <c r="O95" s="230">
        <v>0</v>
      </c>
      <c r="P95" s="230">
        <f t="shared" si="1"/>
        <v>5483355.4500000002</v>
      </c>
      <c r="Q95" s="144">
        <v>0</v>
      </c>
      <c r="R95" s="144">
        <v>0</v>
      </c>
      <c r="S95" s="144" t="s">
        <v>585</v>
      </c>
      <c r="T95" s="41"/>
      <c r="U95" s="42"/>
    </row>
    <row r="96" spans="1:21" ht="9" hidden="1" customHeight="1">
      <c r="A96" s="339">
        <v>83</v>
      </c>
      <c r="B96" s="112" t="s">
        <v>555</v>
      </c>
      <c r="C96" s="211" t="s">
        <v>1126</v>
      </c>
      <c r="D96" s="113" t="s">
        <v>1125</v>
      </c>
      <c r="E96" s="114">
        <v>1972</v>
      </c>
      <c r="F96" s="115" t="s">
        <v>89</v>
      </c>
      <c r="G96" s="115">
        <v>5</v>
      </c>
      <c r="H96" s="116">
        <v>8</v>
      </c>
      <c r="I96" s="117">
        <v>5972.3</v>
      </c>
      <c r="J96" s="117">
        <v>5312.7</v>
      </c>
      <c r="K96" s="321">
        <v>239</v>
      </c>
      <c r="L96" s="117">
        <f>'Приложение 2 КСП 2018-2019 гг'!G98</f>
        <v>5292742.07</v>
      </c>
      <c r="M96" s="144">
        <v>0</v>
      </c>
      <c r="N96" s="144">
        <v>0</v>
      </c>
      <c r="O96" s="230">
        <v>0</v>
      </c>
      <c r="P96" s="230">
        <f t="shared" si="1"/>
        <v>5292742.07</v>
      </c>
      <c r="Q96" s="144">
        <v>0</v>
      </c>
      <c r="R96" s="144">
        <v>0</v>
      </c>
      <c r="S96" s="144" t="s">
        <v>585</v>
      </c>
      <c r="T96" s="41"/>
      <c r="U96" s="42"/>
    </row>
    <row r="97" spans="1:21" ht="9" hidden="1" customHeight="1">
      <c r="A97" s="339">
        <v>84</v>
      </c>
      <c r="B97" s="112" t="s">
        <v>556</v>
      </c>
      <c r="C97" s="211" t="s">
        <v>1126</v>
      </c>
      <c r="D97" s="113" t="s">
        <v>1125</v>
      </c>
      <c r="E97" s="114">
        <v>1959</v>
      </c>
      <c r="F97" s="115" t="s">
        <v>87</v>
      </c>
      <c r="G97" s="115">
        <v>4</v>
      </c>
      <c r="H97" s="116">
        <v>3</v>
      </c>
      <c r="I97" s="117">
        <v>2176.9</v>
      </c>
      <c r="J97" s="117">
        <v>1983.3</v>
      </c>
      <c r="K97" s="321">
        <v>76</v>
      </c>
      <c r="L97" s="117">
        <f>'Приложение 2 КСП 2018-2019 гг'!G99</f>
        <v>3244219.82</v>
      </c>
      <c r="M97" s="144">
        <v>0</v>
      </c>
      <c r="N97" s="144">
        <v>0</v>
      </c>
      <c r="O97" s="230">
        <v>0</v>
      </c>
      <c r="P97" s="230">
        <f t="shared" si="1"/>
        <v>3244219.82</v>
      </c>
      <c r="Q97" s="144">
        <v>0</v>
      </c>
      <c r="R97" s="144">
        <v>0</v>
      </c>
      <c r="S97" s="144" t="s">
        <v>585</v>
      </c>
      <c r="T97" s="41"/>
      <c r="U97" s="42"/>
    </row>
    <row r="98" spans="1:21" ht="9" hidden="1" customHeight="1">
      <c r="A98" s="339">
        <v>85</v>
      </c>
      <c r="B98" s="112" t="s">
        <v>557</v>
      </c>
      <c r="C98" s="211" t="s">
        <v>1127</v>
      </c>
      <c r="D98" s="113" t="s">
        <v>1125</v>
      </c>
      <c r="E98" s="114">
        <v>1959</v>
      </c>
      <c r="F98" s="115" t="s">
        <v>87</v>
      </c>
      <c r="G98" s="115">
        <v>4</v>
      </c>
      <c r="H98" s="116">
        <v>6</v>
      </c>
      <c r="I98" s="117">
        <v>7390.3</v>
      </c>
      <c r="J98" s="117">
        <v>6737.3</v>
      </c>
      <c r="K98" s="321">
        <v>171</v>
      </c>
      <c r="L98" s="117">
        <f>'Приложение 2 КСП 2018-2019 гг'!G100</f>
        <v>10613184.75</v>
      </c>
      <c r="M98" s="144">
        <v>0</v>
      </c>
      <c r="N98" s="144">
        <v>0</v>
      </c>
      <c r="O98" s="230">
        <v>0</v>
      </c>
      <c r="P98" s="230">
        <f t="shared" si="1"/>
        <v>10613184.75</v>
      </c>
      <c r="Q98" s="144">
        <v>0</v>
      </c>
      <c r="R98" s="144">
        <v>0</v>
      </c>
      <c r="S98" s="144" t="s">
        <v>585</v>
      </c>
      <c r="T98" s="41"/>
      <c r="U98" s="42"/>
    </row>
    <row r="99" spans="1:21" ht="9" hidden="1" customHeight="1">
      <c r="A99" s="339">
        <v>86</v>
      </c>
      <c r="B99" s="112" t="s">
        <v>558</v>
      </c>
      <c r="C99" s="211" t="s">
        <v>1126</v>
      </c>
      <c r="D99" s="113" t="s">
        <v>1125</v>
      </c>
      <c r="E99" s="114">
        <v>1965</v>
      </c>
      <c r="F99" s="115" t="s">
        <v>87</v>
      </c>
      <c r="G99" s="115">
        <v>5</v>
      </c>
      <c r="H99" s="116">
        <v>4</v>
      </c>
      <c r="I99" s="117">
        <v>3418.3</v>
      </c>
      <c r="J99" s="117">
        <v>3090.2</v>
      </c>
      <c r="K99" s="321">
        <v>20</v>
      </c>
      <c r="L99" s="117">
        <f>'Приложение 2 КСП 2018-2019 гг'!G101</f>
        <v>3272641.77</v>
      </c>
      <c r="M99" s="144">
        <v>0</v>
      </c>
      <c r="N99" s="144">
        <v>0</v>
      </c>
      <c r="O99" s="230">
        <v>0</v>
      </c>
      <c r="P99" s="230">
        <f t="shared" si="1"/>
        <v>3272641.77</v>
      </c>
      <c r="Q99" s="144">
        <v>0</v>
      </c>
      <c r="R99" s="144">
        <v>0</v>
      </c>
      <c r="S99" s="144" t="s">
        <v>585</v>
      </c>
      <c r="T99" s="41"/>
      <c r="U99" s="42"/>
    </row>
    <row r="100" spans="1:21" ht="9" hidden="1" customHeight="1">
      <c r="A100" s="339">
        <v>87</v>
      </c>
      <c r="B100" s="112" t="s">
        <v>559</v>
      </c>
      <c r="C100" s="211" t="s">
        <v>1126</v>
      </c>
      <c r="D100" s="113" t="s">
        <v>1125</v>
      </c>
      <c r="E100" s="114">
        <v>1981</v>
      </c>
      <c r="F100" s="115" t="s">
        <v>89</v>
      </c>
      <c r="G100" s="115">
        <v>5</v>
      </c>
      <c r="H100" s="116">
        <v>8</v>
      </c>
      <c r="I100" s="117">
        <v>6303.1</v>
      </c>
      <c r="J100" s="117">
        <v>5550.1</v>
      </c>
      <c r="K100" s="321">
        <v>82</v>
      </c>
      <c r="L100" s="117">
        <f>'Приложение 2 КСП 2018-2019 гг'!G102</f>
        <v>5063497.34</v>
      </c>
      <c r="M100" s="144">
        <v>0</v>
      </c>
      <c r="N100" s="144">
        <v>0</v>
      </c>
      <c r="O100" s="230">
        <v>0</v>
      </c>
      <c r="P100" s="230">
        <f t="shared" si="1"/>
        <v>5063497.34</v>
      </c>
      <c r="Q100" s="144">
        <v>0</v>
      </c>
      <c r="R100" s="144">
        <v>0</v>
      </c>
      <c r="S100" s="144" t="s">
        <v>585</v>
      </c>
      <c r="T100" s="41"/>
      <c r="U100" s="42"/>
    </row>
    <row r="101" spans="1:21" ht="9" hidden="1" customHeight="1">
      <c r="A101" s="339">
        <v>88</v>
      </c>
      <c r="B101" s="112" t="s">
        <v>560</v>
      </c>
      <c r="C101" s="211" t="s">
        <v>1126</v>
      </c>
      <c r="D101" s="113" t="s">
        <v>1125</v>
      </c>
      <c r="E101" s="114">
        <v>1980</v>
      </c>
      <c r="F101" s="115" t="s">
        <v>89</v>
      </c>
      <c r="G101" s="115">
        <v>5</v>
      </c>
      <c r="H101" s="116">
        <v>5</v>
      </c>
      <c r="I101" s="117">
        <v>4044.3</v>
      </c>
      <c r="J101" s="117">
        <v>3647.4</v>
      </c>
      <c r="K101" s="321">
        <v>96</v>
      </c>
      <c r="L101" s="117">
        <f>'Приложение 2 КСП 2018-2019 гг'!G103</f>
        <v>3565475.28</v>
      </c>
      <c r="M101" s="144">
        <v>0</v>
      </c>
      <c r="N101" s="144">
        <v>0</v>
      </c>
      <c r="O101" s="230">
        <v>0</v>
      </c>
      <c r="P101" s="230">
        <f t="shared" si="1"/>
        <v>3565475.28</v>
      </c>
      <c r="Q101" s="144">
        <v>0</v>
      </c>
      <c r="R101" s="144">
        <v>0</v>
      </c>
      <c r="S101" s="144" t="s">
        <v>585</v>
      </c>
      <c r="T101" s="41"/>
      <c r="U101" s="42"/>
    </row>
    <row r="102" spans="1:21" ht="9" hidden="1" customHeight="1">
      <c r="A102" s="339">
        <v>89</v>
      </c>
      <c r="B102" s="112" t="s">
        <v>561</v>
      </c>
      <c r="C102" s="211" t="s">
        <v>1126</v>
      </c>
      <c r="D102" s="113" t="s">
        <v>1125</v>
      </c>
      <c r="E102" s="114">
        <v>1984</v>
      </c>
      <c r="F102" s="115" t="s">
        <v>89</v>
      </c>
      <c r="G102" s="115">
        <v>5</v>
      </c>
      <c r="H102" s="116">
        <v>10</v>
      </c>
      <c r="I102" s="117">
        <v>8455.9</v>
      </c>
      <c r="J102" s="117">
        <v>7184.9</v>
      </c>
      <c r="K102" s="321">
        <v>102</v>
      </c>
      <c r="L102" s="117">
        <f>'Приложение 2 КСП 2018-2019 гг'!G104</f>
        <v>6656402.1399999997</v>
      </c>
      <c r="M102" s="144">
        <v>0</v>
      </c>
      <c r="N102" s="144">
        <v>0</v>
      </c>
      <c r="O102" s="230">
        <v>0</v>
      </c>
      <c r="P102" s="230">
        <f t="shared" si="1"/>
        <v>6656402.1399999997</v>
      </c>
      <c r="Q102" s="144">
        <v>0</v>
      </c>
      <c r="R102" s="144">
        <v>0</v>
      </c>
      <c r="S102" s="144" t="s">
        <v>585</v>
      </c>
      <c r="T102" s="41"/>
      <c r="U102" s="42"/>
    </row>
    <row r="103" spans="1:21" ht="9" hidden="1" customHeight="1">
      <c r="A103" s="339">
        <v>90</v>
      </c>
      <c r="B103" s="112" t="s">
        <v>562</v>
      </c>
      <c r="C103" s="211" t="s">
        <v>1126</v>
      </c>
      <c r="D103" s="113" t="s">
        <v>1125</v>
      </c>
      <c r="E103" s="114">
        <v>1983</v>
      </c>
      <c r="F103" s="115" t="s">
        <v>89</v>
      </c>
      <c r="G103" s="115">
        <v>5</v>
      </c>
      <c r="H103" s="116">
        <v>5</v>
      </c>
      <c r="I103" s="117">
        <v>3934.9</v>
      </c>
      <c r="J103" s="117">
        <v>3562.4</v>
      </c>
      <c r="K103" s="321">
        <v>183</v>
      </c>
      <c r="L103" s="117">
        <f>'Приложение 2 КСП 2018-2019 гг'!G105</f>
        <v>3226380.69</v>
      </c>
      <c r="M103" s="144">
        <v>0</v>
      </c>
      <c r="N103" s="144">
        <v>0</v>
      </c>
      <c r="O103" s="230">
        <v>0</v>
      </c>
      <c r="P103" s="230">
        <f t="shared" si="1"/>
        <v>3226380.69</v>
      </c>
      <c r="Q103" s="144">
        <v>0</v>
      </c>
      <c r="R103" s="144">
        <v>0</v>
      </c>
      <c r="S103" s="144" t="s">
        <v>585</v>
      </c>
      <c r="T103" s="41"/>
      <c r="U103" s="42"/>
    </row>
    <row r="104" spans="1:21" ht="9" hidden="1" customHeight="1">
      <c r="A104" s="339">
        <v>91</v>
      </c>
      <c r="B104" s="112" t="s">
        <v>563</v>
      </c>
      <c r="C104" s="211" t="s">
        <v>1126</v>
      </c>
      <c r="D104" s="113" t="s">
        <v>1125</v>
      </c>
      <c r="E104" s="114">
        <v>1977</v>
      </c>
      <c r="F104" s="115" t="s">
        <v>89</v>
      </c>
      <c r="G104" s="115">
        <v>5</v>
      </c>
      <c r="H104" s="116">
        <v>4</v>
      </c>
      <c r="I104" s="117">
        <v>3684.9</v>
      </c>
      <c r="J104" s="117">
        <v>3043.3</v>
      </c>
      <c r="K104" s="321">
        <v>19</v>
      </c>
      <c r="L104" s="117">
        <f>'Приложение 2 КСП 2018-2019 гг'!G106</f>
        <v>3345255.27</v>
      </c>
      <c r="M104" s="144">
        <v>0</v>
      </c>
      <c r="N104" s="144">
        <v>0</v>
      </c>
      <c r="O104" s="230">
        <v>0</v>
      </c>
      <c r="P104" s="230">
        <f t="shared" si="1"/>
        <v>3345255.27</v>
      </c>
      <c r="Q104" s="144">
        <v>0</v>
      </c>
      <c r="R104" s="144">
        <v>0</v>
      </c>
      <c r="S104" s="144" t="s">
        <v>585</v>
      </c>
      <c r="T104" s="41"/>
      <c r="U104" s="42"/>
    </row>
    <row r="105" spans="1:21" ht="9" hidden="1" customHeight="1">
      <c r="A105" s="339">
        <v>92</v>
      </c>
      <c r="B105" s="112" t="s">
        <v>564</v>
      </c>
      <c r="C105" s="211" t="s">
        <v>1126</v>
      </c>
      <c r="D105" s="113" t="s">
        <v>1125</v>
      </c>
      <c r="E105" s="114">
        <v>1978</v>
      </c>
      <c r="F105" s="115" t="s">
        <v>89</v>
      </c>
      <c r="G105" s="115">
        <v>5</v>
      </c>
      <c r="H105" s="116">
        <v>4</v>
      </c>
      <c r="I105" s="117">
        <v>3610.8</v>
      </c>
      <c r="J105" s="117">
        <v>3239.8</v>
      </c>
      <c r="K105" s="321">
        <v>163</v>
      </c>
      <c r="L105" s="117">
        <f>'Приложение 2 КСП 2018-2019 гг'!G107</f>
        <v>3405985.57</v>
      </c>
      <c r="M105" s="144">
        <v>0</v>
      </c>
      <c r="N105" s="144">
        <v>0</v>
      </c>
      <c r="O105" s="230">
        <v>0</v>
      </c>
      <c r="P105" s="230">
        <f t="shared" si="1"/>
        <v>3405985.57</v>
      </c>
      <c r="Q105" s="144">
        <v>0</v>
      </c>
      <c r="R105" s="144">
        <v>0</v>
      </c>
      <c r="S105" s="144" t="s">
        <v>585</v>
      </c>
      <c r="T105" s="41"/>
      <c r="U105" s="42"/>
    </row>
    <row r="106" spans="1:21" ht="9" hidden="1" customHeight="1">
      <c r="A106" s="339">
        <v>93</v>
      </c>
      <c r="B106" s="112" t="s">
        <v>565</v>
      </c>
      <c r="C106" s="211" t="s">
        <v>1126</v>
      </c>
      <c r="D106" s="113" t="s">
        <v>1125</v>
      </c>
      <c r="E106" s="114">
        <v>1964</v>
      </c>
      <c r="F106" s="115" t="s">
        <v>87</v>
      </c>
      <c r="G106" s="115">
        <v>4</v>
      </c>
      <c r="H106" s="116">
        <v>2</v>
      </c>
      <c r="I106" s="117">
        <v>1399.76</v>
      </c>
      <c r="J106" s="117">
        <v>1307.76</v>
      </c>
      <c r="K106" s="321">
        <v>37</v>
      </c>
      <c r="L106" s="117">
        <f>'Приложение 2 КСП 2018-2019 гг'!G108</f>
        <v>2150743.36</v>
      </c>
      <c r="M106" s="144">
        <v>0</v>
      </c>
      <c r="N106" s="144">
        <v>0</v>
      </c>
      <c r="O106" s="230">
        <v>0</v>
      </c>
      <c r="P106" s="230">
        <f t="shared" si="1"/>
        <v>2150743.36</v>
      </c>
      <c r="Q106" s="144">
        <v>0</v>
      </c>
      <c r="R106" s="144">
        <v>0</v>
      </c>
      <c r="S106" s="144" t="s">
        <v>585</v>
      </c>
      <c r="T106" s="41"/>
      <c r="U106" s="42"/>
    </row>
    <row r="107" spans="1:21" ht="9" hidden="1" customHeight="1">
      <c r="A107" s="339">
        <v>94</v>
      </c>
      <c r="B107" s="112" t="s">
        <v>566</v>
      </c>
      <c r="C107" s="211" t="s">
        <v>1126</v>
      </c>
      <c r="D107" s="113" t="s">
        <v>1125</v>
      </c>
      <c r="E107" s="114">
        <v>1980</v>
      </c>
      <c r="F107" s="115" t="s">
        <v>89</v>
      </c>
      <c r="G107" s="115">
        <v>5</v>
      </c>
      <c r="H107" s="116">
        <v>4</v>
      </c>
      <c r="I107" s="117">
        <v>3173.4</v>
      </c>
      <c r="J107" s="117">
        <v>2918</v>
      </c>
      <c r="K107" s="321">
        <v>31</v>
      </c>
      <c r="L107" s="117">
        <f>'Приложение 2 КСП 2018-2019 гг'!G109</f>
        <v>2890099.43</v>
      </c>
      <c r="M107" s="144">
        <v>0</v>
      </c>
      <c r="N107" s="144">
        <v>0</v>
      </c>
      <c r="O107" s="230">
        <v>0</v>
      </c>
      <c r="P107" s="230">
        <f t="shared" si="1"/>
        <v>2890099.43</v>
      </c>
      <c r="Q107" s="144">
        <v>0</v>
      </c>
      <c r="R107" s="144">
        <v>0</v>
      </c>
      <c r="S107" s="144" t="s">
        <v>585</v>
      </c>
      <c r="T107" s="41"/>
      <c r="U107" s="42"/>
    </row>
    <row r="108" spans="1:21" ht="9" hidden="1" customHeight="1">
      <c r="A108" s="339">
        <v>95</v>
      </c>
      <c r="B108" s="112" t="s">
        <v>567</v>
      </c>
      <c r="C108" s="211" t="s">
        <v>1126</v>
      </c>
      <c r="D108" s="113" t="s">
        <v>1125</v>
      </c>
      <c r="E108" s="114">
        <v>1962</v>
      </c>
      <c r="F108" s="115" t="s">
        <v>87</v>
      </c>
      <c r="G108" s="115">
        <v>5</v>
      </c>
      <c r="H108" s="116">
        <v>3</v>
      </c>
      <c r="I108" s="117">
        <v>2708</v>
      </c>
      <c r="J108" s="117">
        <v>2457.8000000000002</v>
      </c>
      <c r="K108" s="321">
        <v>113</v>
      </c>
      <c r="L108" s="117">
        <f>'Приложение 2 КСП 2018-2019 гг'!G110</f>
        <v>3071297.96</v>
      </c>
      <c r="M108" s="144">
        <v>0</v>
      </c>
      <c r="N108" s="144">
        <v>0</v>
      </c>
      <c r="O108" s="230">
        <v>0</v>
      </c>
      <c r="P108" s="230">
        <f t="shared" si="1"/>
        <v>3071297.96</v>
      </c>
      <c r="Q108" s="144">
        <v>0</v>
      </c>
      <c r="R108" s="144">
        <v>0</v>
      </c>
      <c r="S108" s="144" t="s">
        <v>585</v>
      </c>
      <c r="T108" s="41"/>
      <c r="U108" s="42"/>
    </row>
    <row r="109" spans="1:21" ht="9" hidden="1" customHeight="1">
      <c r="A109" s="339">
        <v>96</v>
      </c>
      <c r="B109" s="112" t="s">
        <v>568</v>
      </c>
      <c r="C109" s="211" t="s">
        <v>1126</v>
      </c>
      <c r="D109" s="113" t="s">
        <v>1125</v>
      </c>
      <c r="E109" s="114">
        <v>1967</v>
      </c>
      <c r="F109" s="115" t="s">
        <v>87</v>
      </c>
      <c r="G109" s="115">
        <v>5</v>
      </c>
      <c r="H109" s="116">
        <v>4</v>
      </c>
      <c r="I109" s="117">
        <v>3420</v>
      </c>
      <c r="J109" s="117">
        <v>3033.4</v>
      </c>
      <c r="K109" s="321">
        <v>161</v>
      </c>
      <c r="L109" s="117">
        <f>'Приложение 2 КСП 2018-2019 гг'!G111</f>
        <v>3714281.93</v>
      </c>
      <c r="M109" s="144">
        <v>0</v>
      </c>
      <c r="N109" s="144">
        <v>0</v>
      </c>
      <c r="O109" s="230">
        <v>0</v>
      </c>
      <c r="P109" s="230">
        <f t="shared" si="1"/>
        <v>3714281.93</v>
      </c>
      <c r="Q109" s="144">
        <v>0</v>
      </c>
      <c r="R109" s="144">
        <v>0</v>
      </c>
      <c r="S109" s="144" t="s">
        <v>585</v>
      </c>
      <c r="T109" s="41"/>
      <c r="U109" s="42"/>
    </row>
    <row r="110" spans="1:21" ht="9" hidden="1" customHeight="1">
      <c r="A110" s="339">
        <v>97</v>
      </c>
      <c r="B110" s="112" t="s">
        <v>569</v>
      </c>
      <c r="C110" s="211" t="s">
        <v>1126</v>
      </c>
      <c r="D110" s="113" t="s">
        <v>1125</v>
      </c>
      <c r="E110" s="114">
        <v>1977</v>
      </c>
      <c r="F110" s="115" t="s">
        <v>87</v>
      </c>
      <c r="G110" s="115">
        <v>5</v>
      </c>
      <c r="H110" s="116">
        <v>1</v>
      </c>
      <c r="I110" s="117">
        <v>5391.3</v>
      </c>
      <c r="J110" s="117">
        <v>2174.4</v>
      </c>
      <c r="K110" s="321">
        <v>261</v>
      </c>
      <c r="L110" s="117">
        <f>'Приложение 2 КСП 2018-2019 гг'!G112</f>
        <v>3844102</v>
      </c>
      <c r="M110" s="144">
        <v>0</v>
      </c>
      <c r="N110" s="144">
        <v>0</v>
      </c>
      <c r="O110" s="230">
        <v>0</v>
      </c>
      <c r="P110" s="230">
        <f t="shared" si="1"/>
        <v>3844102</v>
      </c>
      <c r="Q110" s="144">
        <v>0</v>
      </c>
      <c r="R110" s="144">
        <v>0</v>
      </c>
      <c r="S110" s="144" t="s">
        <v>585</v>
      </c>
      <c r="T110" s="41"/>
      <c r="U110" s="42"/>
    </row>
    <row r="111" spans="1:21" ht="9" hidden="1" customHeight="1">
      <c r="A111" s="339">
        <v>98</v>
      </c>
      <c r="B111" s="112" t="s">
        <v>570</v>
      </c>
      <c r="C111" s="211" t="s">
        <v>1126</v>
      </c>
      <c r="D111" s="113" t="s">
        <v>1125</v>
      </c>
      <c r="E111" s="114">
        <v>1971</v>
      </c>
      <c r="F111" s="115" t="s">
        <v>89</v>
      </c>
      <c r="G111" s="115">
        <v>5</v>
      </c>
      <c r="H111" s="116">
        <v>6</v>
      </c>
      <c r="I111" s="117">
        <v>6272.1</v>
      </c>
      <c r="J111" s="117">
        <v>5672.1</v>
      </c>
      <c r="K111" s="321">
        <v>27</v>
      </c>
      <c r="L111" s="117">
        <f>'Приложение 2 КСП 2018-2019 гг'!G113</f>
        <v>5467782.25</v>
      </c>
      <c r="M111" s="144">
        <v>0</v>
      </c>
      <c r="N111" s="144">
        <v>0</v>
      </c>
      <c r="O111" s="230">
        <v>0</v>
      </c>
      <c r="P111" s="230">
        <f t="shared" si="1"/>
        <v>5467782.25</v>
      </c>
      <c r="Q111" s="144">
        <v>0</v>
      </c>
      <c r="R111" s="144">
        <v>0</v>
      </c>
      <c r="S111" s="144" t="s">
        <v>585</v>
      </c>
      <c r="T111" s="41"/>
      <c r="U111" s="42"/>
    </row>
    <row r="112" spans="1:21" ht="9" hidden="1" customHeight="1">
      <c r="A112" s="339">
        <v>99</v>
      </c>
      <c r="B112" s="112" t="s">
        <v>571</v>
      </c>
      <c r="C112" s="211" t="s">
        <v>1126</v>
      </c>
      <c r="D112" s="113" t="s">
        <v>1125</v>
      </c>
      <c r="E112" s="114">
        <v>1974</v>
      </c>
      <c r="F112" s="115" t="s">
        <v>89</v>
      </c>
      <c r="G112" s="115">
        <v>5</v>
      </c>
      <c r="H112" s="116">
        <v>8</v>
      </c>
      <c r="I112" s="117">
        <v>6099.5</v>
      </c>
      <c r="J112" s="117">
        <v>5603.5</v>
      </c>
      <c r="K112" s="321">
        <v>41</v>
      </c>
      <c r="L112" s="117">
        <f>'Приложение 2 КСП 2018-2019 гг'!G114</f>
        <v>5603733.5</v>
      </c>
      <c r="M112" s="144">
        <v>0</v>
      </c>
      <c r="N112" s="144">
        <v>0</v>
      </c>
      <c r="O112" s="230">
        <v>0</v>
      </c>
      <c r="P112" s="230">
        <f t="shared" si="1"/>
        <v>5603733.5</v>
      </c>
      <c r="Q112" s="144">
        <v>0</v>
      </c>
      <c r="R112" s="144">
        <v>0</v>
      </c>
      <c r="S112" s="144" t="s">
        <v>585</v>
      </c>
      <c r="T112" s="41"/>
      <c r="U112" s="42"/>
    </row>
    <row r="113" spans="1:21" ht="9" hidden="1" customHeight="1">
      <c r="A113" s="339">
        <v>100</v>
      </c>
      <c r="B113" s="112" t="s">
        <v>572</v>
      </c>
      <c r="C113" s="211" t="s">
        <v>1126</v>
      </c>
      <c r="D113" s="113" t="s">
        <v>1125</v>
      </c>
      <c r="E113" s="114">
        <v>1975</v>
      </c>
      <c r="F113" s="115" t="s">
        <v>89</v>
      </c>
      <c r="G113" s="115">
        <v>5</v>
      </c>
      <c r="H113" s="116">
        <v>8</v>
      </c>
      <c r="I113" s="117">
        <v>5968.3</v>
      </c>
      <c r="J113" s="117">
        <v>5464.8</v>
      </c>
      <c r="K113" s="321">
        <v>29</v>
      </c>
      <c r="L113" s="117">
        <f>'Приложение 2 КСП 2018-2019 гг'!G115</f>
        <v>5340210.1399999997</v>
      </c>
      <c r="M113" s="144">
        <v>0</v>
      </c>
      <c r="N113" s="144">
        <v>0</v>
      </c>
      <c r="O113" s="230">
        <v>0</v>
      </c>
      <c r="P113" s="230">
        <f t="shared" si="1"/>
        <v>5340210.1399999997</v>
      </c>
      <c r="Q113" s="144">
        <v>0</v>
      </c>
      <c r="R113" s="144">
        <v>0</v>
      </c>
      <c r="S113" s="144" t="s">
        <v>585</v>
      </c>
      <c r="T113" s="41"/>
      <c r="U113" s="42"/>
    </row>
    <row r="114" spans="1:21" ht="9" hidden="1" customHeight="1">
      <c r="A114" s="339">
        <v>101</v>
      </c>
      <c r="B114" s="112" t="s">
        <v>573</v>
      </c>
      <c r="C114" s="211" t="s">
        <v>1126</v>
      </c>
      <c r="D114" s="113" t="s">
        <v>1125</v>
      </c>
      <c r="E114" s="114">
        <v>1977</v>
      </c>
      <c r="F114" s="115" t="s">
        <v>87</v>
      </c>
      <c r="G114" s="115">
        <v>9</v>
      </c>
      <c r="H114" s="116">
        <v>1</v>
      </c>
      <c r="I114" s="117">
        <v>2143.6999999999998</v>
      </c>
      <c r="J114" s="117">
        <v>2024.9</v>
      </c>
      <c r="K114" s="321">
        <v>32</v>
      </c>
      <c r="L114" s="117">
        <f>'Приложение 2 КСП 2018-2019 гг'!G116</f>
        <v>1206338.32</v>
      </c>
      <c r="M114" s="144">
        <v>0</v>
      </c>
      <c r="N114" s="144">
        <v>0</v>
      </c>
      <c r="O114" s="230">
        <v>0</v>
      </c>
      <c r="P114" s="230">
        <f t="shared" si="1"/>
        <v>1206338.32</v>
      </c>
      <c r="Q114" s="144">
        <v>0</v>
      </c>
      <c r="R114" s="144">
        <v>0</v>
      </c>
      <c r="S114" s="144" t="s">
        <v>585</v>
      </c>
      <c r="T114" s="41"/>
      <c r="U114" s="42"/>
    </row>
    <row r="115" spans="1:21" ht="9" hidden="1" customHeight="1">
      <c r="A115" s="339">
        <v>102</v>
      </c>
      <c r="B115" s="112" t="s">
        <v>574</v>
      </c>
      <c r="C115" s="211" t="s">
        <v>1126</v>
      </c>
      <c r="D115" s="113" t="s">
        <v>1125</v>
      </c>
      <c r="E115" s="114">
        <v>1979</v>
      </c>
      <c r="F115" s="115" t="s">
        <v>87</v>
      </c>
      <c r="G115" s="115">
        <v>5</v>
      </c>
      <c r="H115" s="116">
        <v>14</v>
      </c>
      <c r="I115" s="117">
        <v>11645.3</v>
      </c>
      <c r="J115" s="117">
        <v>10031.799999999999</v>
      </c>
      <c r="K115" s="321">
        <v>23</v>
      </c>
      <c r="L115" s="117">
        <f>'Приложение 2 КСП 2018-2019 гг'!G117</f>
        <v>9689355</v>
      </c>
      <c r="M115" s="144">
        <v>0</v>
      </c>
      <c r="N115" s="144">
        <v>0</v>
      </c>
      <c r="O115" s="230">
        <v>0</v>
      </c>
      <c r="P115" s="230">
        <f t="shared" si="1"/>
        <v>9689355</v>
      </c>
      <c r="Q115" s="144">
        <v>0</v>
      </c>
      <c r="R115" s="144">
        <v>0</v>
      </c>
      <c r="S115" s="144" t="s">
        <v>585</v>
      </c>
      <c r="T115" s="41"/>
      <c r="U115" s="42"/>
    </row>
    <row r="116" spans="1:21" ht="9" hidden="1" customHeight="1">
      <c r="A116" s="339">
        <v>103</v>
      </c>
      <c r="B116" s="112" t="s">
        <v>575</v>
      </c>
      <c r="C116" s="211" t="s">
        <v>1126</v>
      </c>
      <c r="D116" s="113" t="s">
        <v>1125</v>
      </c>
      <c r="E116" s="114">
        <v>1975</v>
      </c>
      <c r="F116" s="115" t="s">
        <v>89</v>
      </c>
      <c r="G116" s="115">
        <v>5</v>
      </c>
      <c r="H116" s="116">
        <v>8</v>
      </c>
      <c r="I116" s="117">
        <v>6030.6</v>
      </c>
      <c r="J116" s="117">
        <v>5535.1</v>
      </c>
      <c r="K116" s="321">
        <v>20</v>
      </c>
      <c r="L116" s="117">
        <f>'Приложение 2 КСП 2018-2019 гг'!G118</f>
        <v>5327585.42</v>
      </c>
      <c r="M116" s="144">
        <v>0</v>
      </c>
      <c r="N116" s="144">
        <v>0</v>
      </c>
      <c r="O116" s="230">
        <v>0</v>
      </c>
      <c r="P116" s="230">
        <f t="shared" si="1"/>
        <v>5327585.42</v>
      </c>
      <c r="Q116" s="144">
        <v>0</v>
      </c>
      <c r="R116" s="144">
        <v>0</v>
      </c>
      <c r="S116" s="144" t="s">
        <v>585</v>
      </c>
      <c r="T116" s="41"/>
      <c r="U116" s="42"/>
    </row>
    <row r="117" spans="1:21" ht="9" hidden="1" customHeight="1">
      <c r="A117" s="339">
        <v>104</v>
      </c>
      <c r="B117" s="112" t="s">
        <v>576</v>
      </c>
      <c r="C117" s="211" t="s">
        <v>1126</v>
      </c>
      <c r="D117" s="113" t="s">
        <v>1125</v>
      </c>
      <c r="E117" s="114">
        <v>1976</v>
      </c>
      <c r="F117" s="115" t="s">
        <v>89</v>
      </c>
      <c r="G117" s="115">
        <v>5</v>
      </c>
      <c r="H117" s="116">
        <v>4</v>
      </c>
      <c r="I117" s="117">
        <v>3633.3</v>
      </c>
      <c r="J117" s="117">
        <v>3217.9</v>
      </c>
      <c r="K117" s="321">
        <v>23</v>
      </c>
      <c r="L117" s="117">
        <f>'Приложение 2 КСП 2018-2019 гг'!G119</f>
        <v>3250550.18</v>
      </c>
      <c r="M117" s="144">
        <v>0</v>
      </c>
      <c r="N117" s="144">
        <v>0</v>
      </c>
      <c r="O117" s="230">
        <v>0</v>
      </c>
      <c r="P117" s="230">
        <f t="shared" si="1"/>
        <v>3250550.18</v>
      </c>
      <c r="Q117" s="144">
        <v>0</v>
      </c>
      <c r="R117" s="144">
        <v>0</v>
      </c>
      <c r="S117" s="144" t="s">
        <v>585</v>
      </c>
      <c r="T117" s="41"/>
      <c r="U117" s="42"/>
    </row>
    <row r="118" spans="1:21" ht="9" hidden="1" customHeight="1">
      <c r="A118" s="339">
        <v>105</v>
      </c>
      <c r="B118" s="112" t="s">
        <v>577</v>
      </c>
      <c r="C118" s="211" t="s">
        <v>1126</v>
      </c>
      <c r="D118" s="113" t="s">
        <v>1125</v>
      </c>
      <c r="E118" s="114">
        <v>1981</v>
      </c>
      <c r="F118" s="115" t="s">
        <v>89</v>
      </c>
      <c r="G118" s="115">
        <v>5</v>
      </c>
      <c r="H118" s="116">
        <v>8</v>
      </c>
      <c r="I118" s="117">
        <v>6870.9</v>
      </c>
      <c r="J118" s="117">
        <v>5718.1</v>
      </c>
      <c r="K118" s="321">
        <v>107</v>
      </c>
      <c r="L118" s="117">
        <f>'Приложение 2 КСП 2018-2019 гг'!G120</f>
        <v>4777862.34</v>
      </c>
      <c r="M118" s="144">
        <v>0</v>
      </c>
      <c r="N118" s="144">
        <v>0</v>
      </c>
      <c r="O118" s="230">
        <v>0</v>
      </c>
      <c r="P118" s="230">
        <f t="shared" si="1"/>
        <v>4777862.34</v>
      </c>
      <c r="Q118" s="144">
        <v>0</v>
      </c>
      <c r="R118" s="144">
        <v>0</v>
      </c>
      <c r="S118" s="144" t="s">
        <v>585</v>
      </c>
      <c r="T118" s="41"/>
      <c r="U118" s="42"/>
    </row>
    <row r="119" spans="1:21" ht="9" hidden="1" customHeight="1">
      <c r="A119" s="339">
        <v>106</v>
      </c>
      <c r="B119" s="112" t="s">
        <v>578</v>
      </c>
      <c r="C119" s="211" t="s">
        <v>1127</v>
      </c>
      <c r="D119" s="113" t="s">
        <v>1125</v>
      </c>
      <c r="E119" s="114">
        <v>1912</v>
      </c>
      <c r="F119" s="115" t="s">
        <v>87</v>
      </c>
      <c r="G119" s="115">
        <v>1</v>
      </c>
      <c r="H119" s="116">
        <v>3</v>
      </c>
      <c r="I119" s="117">
        <v>840</v>
      </c>
      <c r="J119" s="117">
        <v>811.3</v>
      </c>
      <c r="K119" s="321">
        <v>37</v>
      </c>
      <c r="L119" s="117">
        <f>'Приложение 2 КСП 2018-2019 гг'!G121</f>
        <v>1502687.34</v>
      </c>
      <c r="M119" s="144">
        <v>0</v>
      </c>
      <c r="N119" s="144">
        <v>0</v>
      </c>
      <c r="O119" s="230">
        <v>0</v>
      </c>
      <c r="P119" s="230">
        <f t="shared" si="1"/>
        <v>1502687.34</v>
      </c>
      <c r="Q119" s="144">
        <v>0</v>
      </c>
      <c r="R119" s="144">
        <v>0</v>
      </c>
      <c r="S119" s="144" t="s">
        <v>585</v>
      </c>
      <c r="T119" s="41"/>
      <c r="U119" s="42"/>
    </row>
    <row r="120" spans="1:21" ht="9" hidden="1" customHeight="1">
      <c r="A120" s="339">
        <v>107</v>
      </c>
      <c r="B120" s="112" t="s">
        <v>579</v>
      </c>
      <c r="C120" s="211" t="s">
        <v>1126</v>
      </c>
      <c r="D120" s="113" t="s">
        <v>1125</v>
      </c>
      <c r="E120" s="114">
        <v>1985</v>
      </c>
      <c r="F120" s="115" t="s">
        <v>87</v>
      </c>
      <c r="G120" s="115">
        <v>5</v>
      </c>
      <c r="H120" s="116">
        <v>3</v>
      </c>
      <c r="I120" s="117">
        <v>2841.7</v>
      </c>
      <c r="J120" s="117">
        <v>2638.9</v>
      </c>
      <c r="K120" s="321">
        <v>79</v>
      </c>
      <c r="L120" s="117">
        <f>'Приложение 2 КСП 2018-2019 гг'!G122</f>
        <v>1996326.39</v>
      </c>
      <c r="M120" s="144">
        <v>0</v>
      </c>
      <c r="N120" s="144">
        <v>0</v>
      </c>
      <c r="O120" s="230">
        <v>0</v>
      </c>
      <c r="P120" s="230">
        <f t="shared" si="1"/>
        <v>1996326.39</v>
      </c>
      <c r="Q120" s="144">
        <v>0</v>
      </c>
      <c r="R120" s="144">
        <v>0</v>
      </c>
      <c r="S120" s="144" t="s">
        <v>585</v>
      </c>
      <c r="T120" s="41"/>
      <c r="U120" s="42"/>
    </row>
    <row r="121" spans="1:21" ht="9" hidden="1" customHeight="1">
      <c r="A121" s="339">
        <v>108</v>
      </c>
      <c r="B121" s="112" t="s">
        <v>580</v>
      </c>
      <c r="C121" s="211" t="s">
        <v>1126</v>
      </c>
      <c r="D121" s="113" t="s">
        <v>1125</v>
      </c>
      <c r="E121" s="114">
        <v>1982</v>
      </c>
      <c r="F121" s="115" t="s">
        <v>87</v>
      </c>
      <c r="G121" s="115">
        <v>5</v>
      </c>
      <c r="H121" s="116">
        <v>8</v>
      </c>
      <c r="I121" s="117">
        <v>6253.4</v>
      </c>
      <c r="J121" s="117">
        <v>5639.6</v>
      </c>
      <c r="K121" s="321">
        <v>245</v>
      </c>
      <c r="L121" s="117">
        <f>'Приложение 2 КСП 2018-2019 гг'!G123</f>
        <v>3515227.84</v>
      </c>
      <c r="M121" s="144">
        <v>0</v>
      </c>
      <c r="N121" s="144">
        <v>0</v>
      </c>
      <c r="O121" s="230">
        <v>0</v>
      </c>
      <c r="P121" s="230">
        <f t="shared" si="1"/>
        <v>3515227.84</v>
      </c>
      <c r="Q121" s="144">
        <v>0</v>
      </c>
      <c r="R121" s="144">
        <v>0</v>
      </c>
      <c r="S121" s="144" t="s">
        <v>585</v>
      </c>
      <c r="T121" s="41"/>
      <c r="U121" s="42"/>
    </row>
    <row r="122" spans="1:21" ht="9" hidden="1" customHeight="1">
      <c r="A122" s="339">
        <v>109</v>
      </c>
      <c r="B122" s="112" t="s">
        <v>581</v>
      </c>
      <c r="C122" s="211" t="s">
        <v>1126</v>
      </c>
      <c r="D122" s="113" t="s">
        <v>1125</v>
      </c>
      <c r="E122" s="114">
        <v>1960</v>
      </c>
      <c r="F122" s="115" t="s">
        <v>87</v>
      </c>
      <c r="G122" s="115">
        <v>2</v>
      </c>
      <c r="H122" s="116">
        <v>2</v>
      </c>
      <c r="I122" s="117">
        <v>664.4</v>
      </c>
      <c r="J122" s="117">
        <v>616</v>
      </c>
      <c r="K122" s="321">
        <v>35</v>
      </c>
      <c r="L122" s="117">
        <f>'Приложение 2 КСП 2018-2019 гг'!G124</f>
        <v>1408206.31</v>
      </c>
      <c r="M122" s="144">
        <v>0</v>
      </c>
      <c r="N122" s="144">
        <v>0</v>
      </c>
      <c r="O122" s="230">
        <v>0</v>
      </c>
      <c r="P122" s="230">
        <f t="shared" si="1"/>
        <v>1408206.31</v>
      </c>
      <c r="Q122" s="144">
        <v>0</v>
      </c>
      <c r="R122" s="144">
        <v>0</v>
      </c>
      <c r="S122" s="144" t="s">
        <v>585</v>
      </c>
      <c r="T122" s="41"/>
      <c r="U122" s="42"/>
    </row>
    <row r="123" spans="1:21" ht="9" hidden="1" customHeight="1">
      <c r="A123" s="339">
        <v>110</v>
      </c>
      <c r="B123" s="112" t="s">
        <v>582</v>
      </c>
      <c r="C123" s="211" t="s">
        <v>1126</v>
      </c>
      <c r="D123" s="113" t="s">
        <v>1125</v>
      </c>
      <c r="E123" s="114">
        <v>1983</v>
      </c>
      <c r="F123" s="115" t="s">
        <v>89</v>
      </c>
      <c r="G123" s="115">
        <v>5</v>
      </c>
      <c r="H123" s="116">
        <v>5</v>
      </c>
      <c r="I123" s="117">
        <v>3969.5</v>
      </c>
      <c r="J123" s="117">
        <v>3661</v>
      </c>
      <c r="K123" s="321">
        <v>35</v>
      </c>
      <c r="L123" s="117">
        <f>'Приложение 2 КСП 2018-2019 гг'!G125</f>
        <v>5562916.2300000004</v>
      </c>
      <c r="M123" s="144">
        <v>0</v>
      </c>
      <c r="N123" s="144">
        <v>0</v>
      </c>
      <c r="O123" s="230">
        <v>0</v>
      </c>
      <c r="P123" s="230">
        <f t="shared" si="1"/>
        <v>5562916.2300000004</v>
      </c>
      <c r="Q123" s="144">
        <v>0</v>
      </c>
      <c r="R123" s="144">
        <v>0</v>
      </c>
      <c r="S123" s="144" t="s">
        <v>585</v>
      </c>
      <c r="T123" s="41"/>
      <c r="U123" s="42"/>
    </row>
    <row r="124" spans="1:21" ht="9" hidden="1" customHeight="1">
      <c r="A124" s="339">
        <v>111</v>
      </c>
      <c r="B124" s="112" t="s">
        <v>583</v>
      </c>
      <c r="C124" s="211" t="s">
        <v>1126</v>
      </c>
      <c r="D124" s="113" t="s">
        <v>1125</v>
      </c>
      <c r="E124" s="114">
        <v>1965</v>
      </c>
      <c r="F124" s="115" t="s">
        <v>87</v>
      </c>
      <c r="G124" s="115">
        <v>5</v>
      </c>
      <c r="H124" s="116">
        <v>4</v>
      </c>
      <c r="I124" s="117">
        <v>1754.5</v>
      </c>
      <c r="J124" s="117">
        <v>1621.5</v>
      </c>
      <c r="K124" s="321">
        <v>144</v>
      </c>
      <c r="L124" s="117">
        <f>'Приложение 2 КСП 2018-2019 гг'!G126</f>
        <v>2178848.14</v>
      </c>
      <c r="M124" s="144">
        <v>0</v>
      </c>
      <c r="N124" s="144">
        <v>0</v>
      </c>
      <c r="O124" s="230">
        <v>0</v>
      </c>
      <c r="P124" s="230">
        <f t="shared" si="1"/>
        <v>2178848.14</v>
      </c>
      <c r="Q124" s="144">
        <v>0</v>
      </c>
      <c r="R124" s="144">
        <v>0</v>
      </c>
      <c r="S124" s="144" t="s">
        <v>585</v>
      </c>
      <c r="T124" s="41"/>
      <c r="U124" s="42"/>
    </row>
    <row r="125" spans="1:21" ht="9" hidden="1" customHeight="1">
      <c r="A125" s="339">
        <v>112</v>
      </c>
      <c r="B125" s="112" t="s">
        <v>584</v>
      </c>
      <c r="C125" s="211" t="s">
        <v>1126</v>
      </c>
      <c r="D125" s="113" t="s">
        <v>1125</v>
      </c>
      <c r="E125" s="114">
        <v>1968</v>
      </c>
      <c r="F125" s="115" t="s">
        <v>89</v>
      </c>
      <c r="G125" s="115">
        <v>5</v>
      </c>
      <c r="H125" s="116">
        <v>4</v>
      </c>
      <c r="I125" s="117">
        <v>3839.3</v>
      </c>
      <c r="J125" s="117">
        <v>3465</v>
      </c>
      <c r="K125" s="321">
        <v>186</v>
      </c>
      <c r="L125" s="117">
        <f>'Приложение 2 КСП 2018-2019 гг'!G127</f>
        <v>3546870.16</v>
      </c>
      <c r="M125" s="230">
        <v>0</v>
      </c>
      <c r="N125" s="230">
        <v>0</v>
      </c>
      <c r="O125" s="230">
        <v>0</v>
      </c>
      <c r="P125" s="230">
        <f t="shared" si="1"/>
        <v>3546870.16</v>
      </c>
      <c r="Q125" s="230">
        <v>0</v>
      </c>
      <c r="R125" s="230">
        <v>0</v>
      </c>
      <c r="S125" s="230" t="s">
        <v>585</v>
      </c>
      <c r="T125" s="41"/>
      <c r="U125" s="42"/>
    </row>
    <row r="126" spans="1:21" ht="9" hidden="1" customHeight="1">
      <c r="A126" s="339">
        <v>113</v>
      </c>
      <c r="B126" s="118" t="s">
        <v>634</v>
      </c>
      <c r="C126" s="213" t="s">
        <v>1126</v>
      </c>
      <c r="D126" s="119" t="s">
        <v>1125</v>
      </c>
      <c r="E126" s="120">
        <v>1971</v>
      </c>
      <c r="F126" s="121" t="s">
        <v>87</v>
      </c>
      <c r="G126" s="121">
        <v>9</v>
      </c>
      <c r="H126" s="122">
        <v>1</v>
      </c>
      <c r="I126" s="123">
        <v>2560.8000000000002</v>
      </c>
      <c r="J126" s="123">
        <v>2311.8000000000002</v>
      </c>
      <c r="K126" s="322">
        <v>112</v>
      </c>
      <c r="L126" s="117">
        <f>'Приложение 2 КСП 2018-2019 гг'!G128</f>
        <v>2047076.05</v>
      </c>
      <c r="M126" s="230">
        <v>0</v>
      </c>
      <c r="N126" s="230">
        <v>0</v>
      </c>
      <c r="O126" s="230">
        <v>0</v>
      </c>
      <c r="P126" s="230">
        <f t="shared" si="1"/>
        <v>2047076.05</v>
      </c>
      <c r="Q126" s="230">
        <v>0</v>
      </c>
      <c r="R126" s="230">
        <v>0</v>
      </c>
      <c r="S126" s="230" t="s">
        <v>585</v>
      </c>
      <c r="T126" s="41"/>
      <c r="U126" s="42"/>
    </row>
    <row r="127" spans="1:21" ht="9" hidden="1" customHeight="1">
      <c r="A127" s="339">
        <v>114</v>
      </c>
      <c r="B127" s="118" t="s">
        <v>1028</v>
      </c>
      <c r="C127" s="213" t="s">
        <v>1126</v>
      </c>
      <c r="D127" s="119" t="s">
        <v>1125</v>
      </c>
      <c r="E127" s="124">
        <v>1966</v>
      </c>
      <c r="F127" s="115" t="s">
        <v>89</v>
      </c>
      <c r="G127" s="115">
        <v>5</v>
      </c>
      <c r="H127" s="121">
        <v>4</v>
      </c>
      <c r="I127" s="123">
        <v>3864.6</v>
      </c>
      <c r="J127" s="123">
        <v>3544.6</v>
      </c>
      <c r="K127" s="322">
        <v>227</v>
      </c>
      <c r="L127" s="117">
        <f>'Приложение 2 КСП 2018-2019 гг'!G129</f>
        <v>3651411.89</v>
      </c>
      <c r="M127" s="230">
        <v>0</v>
      </c>
      <c r="N127" s="230">
        <v>0</v>
      </c>
      <c r="O127" s="230">
        <v>0</v>
      </c>
      <c r="P127" s="230">
        <f t="shared" si="1"/>
        <v>3651411.89</v>
      </c>
      <c r="Q127" s="230">
        <v>0</v>
      </c>
      <c r="R127" s="230">
        <v>0</v>
      </c>
      <c r="S127" s="230" t="s">
        <v>585</v>
      </c>
      <c r="T127" s="41"/>
      <c r="U127" s="42"/>
    </row>
    <row r="128" spans="1:21" ht="9" hidden="1" customHeight="1">
      <c r="A128" s="339">
        <v>115</v>
      </c>
      <c r="B128" s="118" t="s">
        <v>201</v>
      </c>
      <c r="C128" s="213" t="s">
        <v>1126</v>
      </c>
      <c r="D128" s="119" t="s">
        <v>1125</v>
      </c>
      <c r="E128" s="124">
        <v>1917</v>
      </c>
      <c r="F128" s="115" t="s">
        <v>87</v>
      </c>
      <c r="G128" s="115">
        <v>2</v>
      </c>
      <c r="H128" s="121">
        <v>1</v>
      </c>
      <c r="I128" s="123">
        <v>2765.1</v>
      </c>
      <c r="J128" s="123">
        <v>2024.8</v>
      </c>
      <c r="K128" s="322">
        <v>108</v>
      </c>
      <c r="L128" s="117">
        <f>'Приложение 2 КСП 2018-2019 гг'!G130</f>
        <v>5250124.1700000009</v>
      </c>
      <c r="M128" s="230">
        <v>0</v>
      </c>
      <c r="N128" s="230">
        <v>0</v>
      </c>
      <c r="O128" s="230">
        <v>0</v>
      </c>
      <c r="P128" s="230">
        <f t="shared" si="1"/>
        <v>5250124.1700000009</v>
      </c>
      <c r="Q128" s="230">
        <v>0</v>
      </c>
      <c r="R128" s="230">
        <v>0</v>
      </c>
      <c r="S128" s="230" t="s">
        <v>585</v>
      </c>
      <c r="T128" s="41"/>
      <c r="U128" s="42"/>
    </row>
    <row r="129" spans="1:21" ht="9" hidden="1" customHeight="1">
      <c r="A129" s="339">
        <v>116</v>
      </c>
      <c r="B129" s="118" t="s">
        <v>1138</v>
      </c>
      <c r="C129" s="213" t="s">
        <v>1126</v>
      </c>
      <c r="D129" s="119" t="s">
        <v>1125</v>
      </c>
      <c r="E129" s="124">
        <v>1972</v>
      </c>
      <c r="F129" s="115" t="s">
        <v>89</v>
      </c>
      <c r="G129" s="115">
        <v>5</v>
      </c>
      <c r="H129" s="121">
        <v>8</v>
      </c>
      <c r="I129" s="123">
        <v>6431.6</v>
      </c>
      <c r="J129" s="123">
        <v>5532.6</v>
      </c>
      <c r="K129" s="322">
        <v>232</v>
      </c>
      <c r="L129" s="117">
        <f>'Приложение 2 КСП 2018-2019 гг'!G131</f>
        <v>5357966.17</v>
      </c>
      <c r="M129" s="230">
        <v>0</v>
      </c>
      <c r="N129" s="230">
        <v>0</v>
      </c>
      <c r="O129" s="230">
        <v>0</v>
      </c>
      <c r="P129" s="230">
        <f t="shared" si="1"/>
        <v>5357966.17</v>
      </c>
      <c r="Q129" s="230">
        <v>0</v>
      </c>
      <c r="R129" s="230">
        <v>0</v>
      </c>
      <c r="S129" s="230" t="s">
        <v>585</v>
      </c>
      <c r="T129" s="41"/>
      <c r="U129" s="42"/>
    </row>
    <row r="130" spans="1:21" ht="9" hidden="1" customHeight="1">
      <c r="A130" s="339">
        <v>117</v>
      </c>
      <c r="B130" s="62" t="s">
        <v>1043</v>
      </c>
      <c r="C130" s="213" t="s">
        <v>1126</v>
      </c>
      <c r="D130" s="119" t="s">
        <v>1125</v>
      </c>
      <c r="E130" s="124">
        <v>1986</v>
      </c>
      <c r="F130" s="115" t="s">
        <v>89</v>
      </c>
      <c r="G130" s="115">
        <v>5</v>
      </c>
      <c r="H130" s="121">
        <v>4</v>
      </c>
      <c r="I130" s="123">
        <v>3108</v>
      </c>
      <c r="J130" s="123">
        <v>2856</v>
      </c>
      <c r="K130" s="322">
        <v>140</v>
      </c>
      <c r="L130" s="117">
        <f>'Приложение 2 КСП 2018-2019 гг'!G132</f>
        <v>1685040</v>
      </c>
      <c r="M130" s="230">
        <v>0</v>
      </c>
      <c r="N130" s="230">
        <v>0</v>
      </c>
      <c r="O130" s="230">
        <v>0</v>
      </c>
      <c r="P130" s="230">
        <f t="shared" si="1"/>
        <v>1685040</v>
      </c>
      <c r="Q130" s="230">
        <v>0</v>
      </c>
      <c r="R130" s="230">
        <v>0</v>
      </c>
      <c r="S130" s="230" t="s">
        <v>585</v>
      </c>
      <c r="T130" s="41"/>
      <c r="U130" s="42"/>
    </row>
    <row r="131" spans="1:21" ht="9" hidden="1" customHeight="1">
      <c r="A131" s="339">
        <v>118</v>
      </c>
      <c r="B131" s="62" t="s">
        <v>1044</v>
      </c>
      <c r="C131" s="213" t="s">
        <v>1126</v>
      </c>
      <c r="D131" s="119" t="s">
        <v>1125</v>
      </c>
      <c r="E131" s="124">
        <v>1948</v>
      </c>
      <c r="F131" s="115" t="s">
        <v>87</v>
      </c>
      <c r="G131" s="115">
        <v>4</v>
      </c>
      <c r="H131" s="121">
        <v>1</v>
      </c>
      <c r="I131" s="123">
        <v>1333.3</v>
      </c>
      <c r="J131" s="123">
        <v>1259.0999999999999</v>
      </c>
      <c r="K131" s="322">
        <v>86</v>
      </c>
      <c r="L131" s="117">
        <f>'Приложение 2 КСП 2018-2019 гг'!G133</f>
        <v>3635049.66</v>
      </c>
      <c r="M131" s="230">
        <v>0</v>
      </c>
      <c r="N131" s="230">
        <v>0</v>
      </c>
      <c r="O131" s="230">
        <v>0</v>
      </c>
      <c r="P131" s="230">
        <f t="shared" si="1"/>
        <v>3635049.66</v>
      </c>
      <c r="Q131" s="230">
        <v>0</v>
      </c>
      <c r="R131" s="230">
        <v>0</v>
      </c>
      <c r="S131" s="230" t="s">
        <v>585</v>
      </c>
      <c r="T131" s="41"/>
      <c r="U131" s="42"/>
    </row>
    <row r="132" spans="1:21" ht="9" hidden="1" customHeight="1">
      <c r="A132" s="339">
        <v>119</v>
      </c>
      <c r="B132" s="62" t="s">
        <v>1063</v>
      </c>
      <c r="C132" s="213" t="s">
        <v>1126</v>
      </c>
      <c r="D132" s="119" t="s">
        <v>1125</v>
      </c>
      <c r="E132" s="124">
        <v>1983</v>
      </c>
      <c r="F132" s="115" t="s">
        <v>89</v>
      </c>
      <c r="G132" s="115">
        <v>9</v>
      </c>
      <c r="H132" s="121">
        <v>6</v>
      </c>
      <c r="I132" s="123">
        <v>12924.2</v>
      </c>
      <c r="J132" s="123">
        <v>11532.2</v>
      </c>
      <c r="K132" s="322">
        <v>493</v>
      </c>
      <c r="L132" s="117">
        <f>'Приложение 2 КСП 2018-2019 гг'!G134</f>
        <v>12643701.07</v>
      </c>
      <c r="M132" s="230">
        <v>0</v>
      </c>
      <c r="N132" s="230">
        <v>0</v>
      </c>
      <c r="O132" s="230">
        <v>0</v>
      </c>
      <c r="P132" s="230">
        <f t="shared" si="1"/>
        <v>12643701.07</v>
      </c>
      <c r="Q132" s="230">
        <v>0</v>
      </c>
      <c r="R132" s="230">
        <v>0</v>
      </c>
      <c r="S132" s="230" t="s">
        <v>585</v>
      </c>
      <c r="T132" s="41"/>
      <c r="U132" s="42"/>
    </row>
    <row r="133" spans="1:21" ht="9" hidden="1" customHeight="1">
      <c r="A133" s="339">
        <v>120</v>
      </c>
      <c r="B133" s="112" t="s">
        <v>506</v>
      </c>
      <c r="C133" s="213" t="s">
        <v>1126</v>
      </c>
      <c r="D133" s="119" t="s">
        <v>1125</v>
      </c>
      <c r="E133" s="124">
        <v>1982</v>
      </c>
      <c r="F133" s="115" t="s">
        <v>87</v>
      </c>
      <c r="G133" s="115">
        <v>12</v>
      </c>
      <c r="H133" s="121">
        <v>1</v>
      </c>
      <c r="I133" s="123">
        <v>4595.8</v>
      </c>
      <c r="J133" s="123">
        <v>3981.4</v>
      </c>
      <c r="K133" s="322">
        <v>188</v>
      </c>
      <c r="L133" s="117">
        <f>'Приложение 2 КСП 2018-2019 гг'!G135</f>
        <v>4358750.08</v>
      </c>
      <c r="M133" s="230">
        <v>0</v>
      </c>
      <c r="N133" s="230">
        <v>0</v>
      </c>
      <c r="O133" s="230">
        <v>0</v>
      </c>
      <c r="P133" s="230">
        <f t="shared" si="1"/>
        <v>4358750.08</v>
      </c>
      <c r="Q133" s="230">
        <v>0</v>
      </c>
      <c r="R133" s="230">
        <v>0</v>
      </c>
      <c r="S133" s="230" t="s">
        <v>585</v>
      </c>
      <c r="T133" s="41"/>
      <c r="U133" s="42"/>
    </row>
    <row r="134" spans="1:21" ht="9" hidden="1" customHeight="1">
      <c r="A134" s="339">
        <v>121</v>
      </c>
      <c r="B134" s="112" t="s">
        <v>1064</v>
      </c>
      <c r="C134" s="213" t="s">
        <v>1126</v>
      </c>
      <c r="D134" s="119" t="s">
        <v>1125</v>
      </c>
      <c r="E134" s="124">
        <v>1975</v>
      </c>
      <c r="F134" s="115" t="s">
        <v>87</v>
      </c>
      <c r="G134" s="115">
        <v>9</v>
      </c>
      <c r="H134" s="121">
        <v>4</v>
      </c>
      <c r="I134" s="123">
        <v>8133.82</v>
      </c>
      <c r="J134" s="123">
        <v>7353.82</v>
      </c>
      <c r="K134" s="322">
        <v>310</v>
      </c>
      <c r="L134" s="117">
        <f>'Приложение 2 КСП 2018-2019 гг'!G136</f>
        <v>8706708.9600000009</v>
      </c>
      <c r="M134" s="230">
        <v>0</v>
      </c>
      <c r="N134" s="230">
        <v>0</v>
      </c>
      <c r="O134" s="230">
        <v>0</v>
      </c>
      <c r="P134" s="230">
        <f t="shared" si="1"/>
        <v>8706708.9600000009</v>
      </c>
      <c r="Q134" s="230">
        <v>0</v>
      </c>
      <c r="R134" s="230">
        <v>0</v>
      </c>
      <c r="S134" s="230" t="s">
        <v>585</v>
      </c>
      <c r="T134" s="41"/>
      <c r="U134" s="42"/>
    </row>
    <row r="135" spans="1:21" ht="9" hidden="1" customHeight="1">
      <c r="A135" s="339">
        <v>122</v>
      </c>
      <c r="B135" s="112" t="s">
        <v>1065</v>
      </c>
      <c r="C135" s="213" t="s">
        <v>1126</v>
      </c>
      <c r="D135" s="119" t="s">
        <v>1125</v>
      </c>
      <c r="E135" s="124">
        <v>1988</v>
      </c>
      <c r="F135" s="115" t="s">
        <v>87</v>
      </c>
      <c r="G135" s="115">
        <v>9</v>
      </c>
      <c r="H135" s="121">
        <v>1</v>
      </c>
      <c r="I135" s="123">
        <v>3776.1</v>
      </c>
      <c r="J135" s="123">
        <v>3288.1</v>
      </c>
      <c r="K135" s="322">
        <v>162</v>
      </c>
      <c r="L135" s="117">
        <f>'Приложение 2 КСП 2018-2019 гг'!G137</f>
        <v>2084890.73</v>
      </c>
      <c r="M135" s="230">
        <v>0</v>
      </c>
      <c r="N135" s="230">
        <v>0</v>
      </c>
      <c r="O135" s="230">
        <v>0</v>
      </c>
      <c r="P135" s="230">
        <f t="shared" si="1"/>
        <v>2084890.73</v>
      </c>
      <c r="Q135" s="230">
        <v>0</v>
      </c>
      <c r="R135" s="230">
        <v>0</v>
      </c>
      <c r="S135" s="230" t="s">
        <v>585</v>
      </c>
      <c r="T135" s="41"/>
      <c r="U135" s="42"/>
    </row>
    <row r="136" spans="1:21" ht="9" hidden="1" customHeight="1">
      <c r="A136" s="339">
        <v>123</v>
      </c>
      <c r="B136" s="49" t="s">
        <v>453</v>
      </c>
      <c r="C136" s="66" t="s">
        <v>1127</v>
      </c>
      <c r="D136" s="54" t="s">
        <v>1125</v>
      </c>
      <c r="E136" s="52">
        <v>1947</v>
      </c>
      <c r="F136" s="58" t="s">
        <v>87</v>
      </c>
      <c r="G136" s="58">
        <v>4</v>
      </c>
      <c r="H136" s="54">
        <v>4</v>
      </c>
      <c r="I136" s="225">
        <v>2588</v>
      </c>
      <c r="J136" s="225">
        <v>2285</v>
      </c>
      <c r="K136" s="47">
        <v>72</v>
      </c>
      <c r="L136" s="117">
        <f>'Приложение 2 КСП 2018-2019 гг'!G138</f>
        <v>9017368.7271500006</v>
      </c>
      <c r="M136" s="230">
        <v>0</v>
      </c>
      <c r="N136" s="230">
        <v>0</v>
      </c>
      <c r="O136" s="230">
        <v>0</v>
      </c>
      <c r="P136" s="230">
        <f t="shared" si="1"/>
        <v>9017368.7271500006</v>
      </c>
      <c r="Q136" s="230">
        <v>0</v>
      </c>
      <c r="R136" s="230">
        <v>0</v>
      </c>
      <c r="S136" s="230" t="s">
        <v>585</v>
      </c>
      <c r="T136" s="41"/>
      <c r="U136" s="42"/>
    </row>
    <row r="137" spans="1:21" ht="9" hidden="1" customHeight="1">
      <c r="A137" s="339">
        <v>124</v>
      </c>
      <c r="B137" s="68" t="s">
        <v>202</v>
      </c>
      <c r="C137" s="46" t="s">
        <v>1126</v>
      </c>
      <c r="D137" s="228" t="s">
        <v>1125</v>
      </c>
      <c r="E137" s="54">
        <v>1958</v>
      </c>
      <c r="F137" s="54" t="s">
        <v>87</v>
      </c>
      <c r="G137" s="54">
        <v>2</v>
      </c>
      <c r="H137" s="54">
        <v>1</v>
      </c>
      <c r="I137" s="225">
        <v>485.69</v>
      </c>
      <c r="J137" s="225">
        <v>455.29</v>
      </c>
      <c r="K137" s="47">
        <v>22</v>
      </c>
      <c r="L137" s="117">
        <f>'Приложение 2 КСП 2018-2019 гг'!G139</f>
        <v>834091.27999999991</v>
      </c>
      <c r="M137" s="230">
        <v>0</v>
      </c>
      <c r="N137" s="230">
        <v>0</v>
      </c>
      <c r="O137" s="230">
        <v>0</v>
      </c>
      <c r="P137" s="230">
        <f t="shared" si="1"/>
        <v>834091.27999999991</v>
      </c>
      <c r="Q137" s="230">
        <v>0</v>
      </c>
      <c r="R137" s="230">
        <v>0</v>
      </c>
      <c r="S137" s="230" t="s">
        <v>585</v>
      </c>
      <c r="T137" s="41"/>
      <c r="U137" s="42"/>
    </row>
    <row r="138" spans="1:21" ht="9" hidden="1" customHeight="1">
      <c r="A138" s="339">
        <v>125</v>
      </c>
      <c r="B138" s="23" t="s">
        <v>1076</v>
      </c>
      <c r="C138" s="46" t="s">
        <v>1126</v>
      </c>
      <c r="D138" s="228" t="s">
        <v>1125</v>
      </c>
      <c r="E138" s="54">
        <v>1966</v>
      </c>
      <c r="F138" s="54" t="s">
        <v>89</v>
      </c>
      <c r="G138" s="54">
        <v>5</v>
      </c>
      <c r="H138" s="54">
        <v>4</v>
      </c>
      <c r="I138" s="225">
        <v>3858.4</v>
      </c>
      <c r="J138" s="225">
        <v>3536.4</v>
      </c>
      <c r="K138" s="47">
        <v>178</v>
      </c>
      <c r="L138" s="117">
        <f>'Приложение 2 КСП 2018-2019 гг'!G140</f>
        <v>3293992</v>
      </c>
      <c r="M138" s="230">
        <v>0</v>
      </c>
      <c r="N138" s="230">
        <v>0</v>
      </c>
      <c r="O138" s="230">
        <v>0</v>
      </c>
      <c r="P138" s="230">
        <f t="shared" si="1"/>
        <v>3293992</v>
      </c>
      <c r="Q138" s="230">
        <v>0</v>
      </c>
      <c r="R138" s="230">
        <v>0</v>
      </c>
      <c r="S138" s="230" t="s">
        <v>585</v>
      </c>
      <c r="T138" s="41"/>
      <c r="U138" s="42"/>
    </row>
    <row r="139" spans="1:21" ht="9" hidden="1" customHeight="1">
      <c r="A139" s="339">
        <v>126</v>
      </c>
      <c r="B139" s="23" t="s">
        <v>1077</v>
      </c>
      <c r="C139" s="46" t="s">
        <v>1126</v>
      </c>
      <c r="D139" s="228" t="s">
        <v>1125</v>
      </c>
      <c r="E139" s="54">
        <v>1979</v>
      </c>
      <c r="F139" s="54" t="s">
        <v>87</v>
      </c>
      <c r="G139" s="54">
        <v>5</v>
      </c>
      <c r="H139" s="54">
        <v>3</v>
      </c>
      <c r="I139" s="225">
        <v>3039</v>
      </c>
      <c r="J139" s="225">
        <v>2612.1</v>
      </c>
      <c r="K139" s="47">
        <v>99</v>
      </c>
      <c r="L139" s="117">
        <f>'Приложение 2 КСП 2018-2019 гг'!G141</f>
        <v>3600720</v>
      </c>
      <c r="M139" s="230">
        <v>0</v>
      </c>
      <c r="N139" s="230">
        <v>0</v>
      </c>
      <c r="O139" s="230">
        <v>0</v>
      </c>
      <c r="P139" s="230">
        <f t="shared" si="1"/>
        <v>3600720</v>
      </c>
      <c r="Q139" s="230">
        <v>0</v>
      </c>
      <c r="R139" s="230">
        <v>0</v>
      </c>
      <c r="S139" s="230" t="s">
        <v>585</v>
      </c>
      <c r="T139" s="41"/>
      <c r="U139" s="42"/>
    </row>
    <row r="140" spans="1:21" ht="9" hidden="1" customHeight="1">
      <c r="A140" s="339">
        <v>127</v>
      </c>
      <c r="B140" s="23" t="s">
        <v>1078</v>
      </c>
      <c r="C140" s="46" t="s">
        <v>1126</v>
      </c>
      <c r="D140" s="228" t="s">
        <v>1125</v>
      </c>
      <c r="E140" s="54">
        <v>1979</v>
      </c>
      <c r="F140" s="54" t="s">
        <v>87</v>
      </c>
      <c r="G140" s="54">
        <v>9</v>
      </c>
      <c r="H140" s="54">
        <v>1</v>
      </c>
      <c r="I140" s="225">
        <v>2519.5</v>
      </c>
      <c r="J140" s="225">
        <v>2076.5</v>
      </c>
      <c r="K140" s="47">
        <v>93</v>
      </c>
      <c r="L140" s="117">
        <f>'Приложение 2 КСП 2018-2019 гг'!G142</f>
        <v>5105351.16</v>
      </c>
      <c r="M140" s="230">
        <v>0</v>
      </c>
      <c r="N140" s="230">
        <v>0</v>
      </c>
      <c r="O140" s="230">
        <v>0</v>
      </c>
      <c r="P140" s="230">
        <f t="shared" si="1"/>
        <v>5105351.16</v>
      </c>
      <c r="Q140" s="230">
        <v>0</v>
      </c>
      <c r="R140" s="230">
        <v>0</v>
      </c>
      <c r="S140" s="230" t="s">
        <v>585</v>
      </c>
      <c r="T140" s="41"/>
      <c r="U140" s="42"/>
    </row>
    <row r="141" spans="1:21" ht="9" hidden="1" customHeight="1">
      <c r="A141" s="339">
        <v>128</v>
      </c>
      <c r="B141" s="49" t="s">
        <v>454</v>
      </c>
      <c r="C141" s="66" t="s">
        <v>1127</v>
      </c>
      <c r="D141" s="54" t="s">
        <v>1125</v>
      </c>
      <c r="E141" s="52">
        <v>1960</v>
      </c>
      <c r="F141" s="58" t="s">
        <v>87</v>
      </c>
      <c r="G141" s="58">
        <v>4</v>
      </c>
      <c r="H141" s="54">
        <v>2</v>
      </c>
      <c r="I141" s="225">
        <v>2262.9</v>
      </c>
      <c r="J141" s="225">
        <v>2029.8999999999999</v>
      </c>
      <c r="K141" s="47">
        <v>47</v>
      </c>
      <c r="L141" s="117">
        <f>'Приложение 2 КСП 2018-2019 гг'!G143</f>
        <v>5877765.0499999998</v>
      </c>
      <c r="M141" s="230">
        <v>0</v>
      </c>
      <c r="N141" s="230">
        <v>0</v>
      </c>
      <c r="O141" s="230">
        <v>0</v>
      </c>
      <c r="P141" s="230">
        <f t="shared" si="1"/>
        <v>5877765.0499999998</v>
      </c>
      <c r="Q141" s="230">
        <v>0</v>
      </c>
      <c r="R141" s="230">
        <v>0</v>
      </c>
      <c r="S141" s="230" t="s">
        <v>585</v>
      </c>
      <c r="T141" s="41"/>
      <c r="U141" s="42"/>
    </row>
    <row r="142" spans="1:21" ht="9" hidden="1" customHeight="1">
      <c r="A142" s="339">
        <v>129</v>
      </c>
      <c r="B142" s="49" t="s">
        <v>455</v>
      </c>
      <c r="C142" s="66" t="s">
        <v>1127</v>
      </c>
      <c r="D142" s="54" t="s">
        <v>1125</v>
      </c>
      <c r="E142" s="52">
        <v>1947</v>
      </c>
      <c r="F142" s="58" t="s">
        <v>87</v>
      </c>
      <c r="G142" s="58">
        <v>4</v>
      </c>
      <c r="H142" s="54">
        <v>3</v>
      </c>
      <c r="I142" s="225">
        <v>2998</v>
      </c>
      <c r="J142" s="225">
        <v>2722.1</v>
      </c>
      <c r="K142" s="47">
        <v>85</v>
      </c>
      <c r="L142" s="117">
        <f>'Приложение 2 КСП 2018-2019 гг'!G144</f>
        <v>8216885.7199999997</v>
      </c>
      <c r="M142" s="230">
        <v>0</v>
      </c>
      <c r="N142" s="230">
        <v>0</v>
      </c>
      <c r="O142" s="230">
        <v>0</v>
      </c>
      <c r="P142" s="230">
        <f t="shared" si="1"/>
        <v>8216885.7199999997</v>
      </c>
      <c r="Q142" s="230">
        <v>0</v>
      </c>
      <c r="R142" s="230">
        <v>0</v>
      </c>
      <c r="S142" s="230" t="s">
        <v>585</v>
      </c>
      <c r="T142" s="41"/>
      <c r="U142" s="42"/>
    </row>
    <row r="143" spans="1:21" ht="9" hidden="1" customHeight="1">
      <c r="A143" s="339">
        <v>130</v>
      </c>
      <c r="B143" s="49" t="s">
        <v>119</v>
      </c>
      <c r="C143" s="66" t="s">
        <v>1126</v>
      </c>
      <c r="D143" s="54" t="s">
        <v>1125</v>
      </c>
      <c r="E143" s="52">
        <v>1980</v>
      </c>
      <c r="F143" s="58" t="s">
        <v>87</v>
      </c>
      <c r="G143" s="58">
        <v>5</v>
      </c>
      <c r="H143" s="54">
        <v>5</v>
      </c>
      <c r="I143" s="225">
        <v>4893.7</v>
      </c>
      <c r="J143" s="225">
        <v>4311.7</v>
      </c>
      <c r="K143" s="47">
        <v>178</v>
      </c>
      <c r="L143" s="117">
        <f>'Приложение 2 КСП 2018-2019 гг'!G145</f>
        <v>1392291.05</v>
      </c>
      <c r="M143" s="230">
        <v>0</v>
      </c>
      <c r="N143" s="230">
        <v>0</v>
      </c>
      <c r="O143" s="230">
        <v>0</v>
      </c>
      <c r="P143" s="230">
        <f t="shared" si="1"/>
        <v>1392291.05</v>
      </c>
      <c r="Q143" s="230">
        <v>0</v>
      </c>
      <c r="R143" s="230">
        <v>0</v>
      </c>
      <c r="S143" s="230" t="s">
        <v>585</v>
      </c>
      <c r="T143" s="41"/>
      <c r="U143" s="42"/>
    </row>
    <row r="144" spans="1:21" ht="9" hidden="1" customHeight="1">
      <c r="A144" s="339">
        <v>131</v>
      </c>
      <c r="B144" s="49" t="s">
        <v>161</v>
      </c>
      <c r="C144" s="66" t="s">
        <v>1126</v>
      </c>
      <c r="D144" s="54" t="s">
        <v>1125</v>
      </c>
      <c r="E144" s="52">
        <v>1959</v>
      </c>
      <c r="F144" s="58" t="s">
        <v>87</v>
      </c>
      <c r="G144" s="58">
        <v>4</v>
      </c>
      <c r="H144" s="54">
        <v>2</v>
      </c>
      <c r="I144" s="225">
        <v>1358.1</v>
      </c>
      <c r="J144" s="225">
        <v>1261</v>
      </c>
      <c r="K144" s="47">
        <v>64</v>
      </c>
      <c r="L144" s="117">
        <f>'Приложение 2 КСП 2018-2019 гг'!G146</f>
        <v>407189.51</v>
      </c>
      <c r="M144" s="230">
        <v>0</v>
      </c>
      <c r="N144" s="230">
        <v>0</v>
      </c>
      <c r="O144" s="230">
        <v>0</v>
      </c>
      <c r="P144" s="230">
        <f t="shared" ref="P144:P154" si="2">L144</f>
        <v>407189.51</v>
      </c>
      <c r="Q144" s="230">
        <v>0</v>
      </c>
      <c r="R144" s="230">
        <v>0</v>
      </c>
      <c r="S144" s="230" t="s">
        <v>585</v>
      </c>
      <c r="T144" s="41"/>
      <c r="U144" s="42"/>
    </row>
    <row r="145" spans="1:21" ht="9" hidden="1" customHeight="1">
      <c r="A145" s="339">
        <v>132</v>
      </c>
      <c r="B145" s="49" t="s">
        <v>160</v>
      </c>
      <c r="C145" s="66" t="s">
        <v>1126</v>
      </c>
      <c r="D145" s="54" t="s">
        <v>1125</v>
      </c>
      <c r="E145" s="52">
        <v>1984</v>
      </c>
      <c r="F145" s="58" t="s">
        <v>87</v>
      </c>
      <c r="G145" s="58">
        <v>5</v>
      </c>
      <c r="H145" s="54">
        <v>1</v>
      </c>
      <c r="I145" s="225">
        <v>2815.9</v>
      </c>
      <c r="J145" s="225">
        <v>2530.6999999999998</v>
      </c>
      <c r="K145" s="47">
        <v>126</v>
      </c>
      <c r="L145" s="117">
        <f>'Приложение 2 КСП 2018-2019 гг'!G147</f>
        <v>817188.34</v>
      </c>
      <c r="M145" s="230">
        <v>0</v>
      </c>
      <c r="N145" s="230">
        <v>0</v>
      </c>
      <c r="O145" s="230">
        <v>0</v>
      </c>
      <c r="P145" s="230">
        <f t="shared" si="2"/>
        <v>817188.34</v>
      </c>
      <c r="Q145" s="230">
        <v>0</v>
      </c>
      <c r="R145" s="230">
        <v>0</v>
      </c>
      <c r="S145" s="230" t="s">
        <v>585</v>
      </c>
      <c r="T145" s="41"/>
      <c r="U145" s="42"/>
    </row>
    <row r="146" spans="1:21" ht="9" hidden="1" customHeight="1">
      <c r="A146" s="339">
        <v>133</v>
      </c>
      <c r="B146" s="49" t="s">
        <v>1079</v>
      </c>
      <c r="C146" s="66" t="s">
        <v>1126</v>
      </c>
      <c r="D146" s="54" t="s">
        <v>1125</v>
      </c>
      <c r="E146" s="233">
        <v>1977</v>
      </c>
      <c r="F146" s="58" t="s">
        <v>89</v>
      </c>
      <c r="G146" s="58">
        <v>5</v>
      </c>
      <c r="H146" s="140">
        <v>4</v>
      </c>
      <c r="I146" s="225">
        <v>3686.9</v>
      </c>
      <c r="J146" s="225">
        <v>3357.9</v>
      </c>
      <c r="K146" s="47">
        <v>98</v>
      </c>
      <c r="L146" s="117">
        <f>'Приложение 2 КСП 2018-2019 гг'!G148</f>
        <v>1084299.49</v>
      </c>
      <c r="M146" s="230">
        <v>0</v>
      </c>
      <c r="N146" s="230">
        <v>0</v>
      </c>
      <c r="O146" s="230">
        <v>0</v>
      </c>
      <c r="P146" s="230">
        <f t="shared" si="2"/>
        <v>1084299.49</v>
      </c>
      <c r="Q146" s="230">
        <v>0</v>
      </c>
      <c r="R146" s="230">
        <v>0</v>
      </c>
      <c r="S146" s="230" t="s">
        <v>585</v>
      </c>
      <c r="T146" s="41"/>
      <c r="U146" s="42"/>
    </row>
    <row r="147" spans="1:21" ht="9" hidden="1" customHeight="1">
      <c r="A147" s="339">
        <v>134</v>
      </c>
      <c r="B147" s="49" t="s">
        <v>1080</v>
      </c>
      <c r="C147" s="66" t="s">
        <v>1126</v>
      </c>
      <c r="D147" s="54" t="s">
        <v>1125</v>
      </c>
      <c r="E147" s="52">
        <v>1970</v>
      </c>
      <c r="F147" s="58" t="s">
        <v>89</v>
      </c>
      <c r="G147" s="58">
        <v>5</v>
      </c>
      <c r="H147" s="140">
        <v>3</v>
      </c>
      <c r="I147" s="225">
        <v>2813</v>
      </c>
      <c r="J147" s="225">
        <v>2512</v>
      </c>
      <c r="K147" s="47">
        <v>138</v>
      </c>
      <c r="L147" s="117">
        <f>'Приложение 2 КСП 2018-2019 гг'!G149</f>
        <v>811149.92</v>
      </c>
      <c r="M147" s="230">
        <v>0</v>
      </c>
      <c r="N147" s="230">
        <v>0</v>
      </c>
      <c r="O147" s="230">
        <v>0</v>
      </c>
      <c r="P147" s="230">
        <f t="shared" si="2"/>
        <v>811149.92</v>
      </c>
      <c r="Q147" s="230">
        <v>0</v>
      </c>
      <c r="R147" s="230">
        <v>0</v>
      </c>
      <c r="S147" s="230" t="s">
        <v>585</v>
      </c>
      <c r="T147" s="41"/>
      <c r="U147" s="42"/>
    </row>
    <row r="148" spans="1:21" ht="9" hidden="1" customHeight="1">
      <c r="A148" s="339">
        <v>135</v>
      </c>
      <c r="B148" s="49" t="s">
        <v>1081</v>
      </c>
      <c r="C148" s="66" t="s">
        <v>1126</v>
      </c>
      <c r="D148" s="54" t="s">
        <v>1125</v>
      </c>
      <c r="E148" s="52">
        <v>1973</v>
      </c>
      <c r="F148" s="58" t="s">
        <v>87</v>
      </c>
      <c r="G148" s="58">
        <v>5</v>
      </c>
      <c r="H148" s="140">
        <v>2</v>
      </c>
      <c r="I148" s="225">
        <v>1906.1</v>
      </c>
      <c r="J148" s="225">
        <v>1754.1</v>
      </c>
      <c r="K148" s="47">
        <v>86</v>
      </c>
      <c r="L148" s="117">
        <f>'Приложение 2 КСП 2018-2019 гг'!G150</f>
        <v>566416.42999999993</v>
      </c>
      <c r="M148" s="230">
        <v>0</v>
      </c>
      <c r="N148" s="230">
        <v>0</v>
      </c>
      <c r="O148" s="230">
        <v>0</v>
      </c>
      <c r="P148" s="230">
        <f t="shared" si="2"/>
        <v>566416.42999999993</v>
      </c>
      <c r="Q148" s="230">
        <v>0</v>
      </c>
      <c r="R148" s="230">
        <v>0</v>
      </c>
      <c r="S148" s="230" t="s">
        <v>585</v>
      </c>
      <c r="T148" s="41"/>
      <c r="U148" s="42"/>
    </row>
    <row r="149" spans="1:21" ht="9" hidden="1" customHeight="1">
      <c r="A149" s="339">
        <v>136</v>
      </c>
      <c r="B149" s="49" t="s">
        <v>1082</v>
      </c>
      <c r="C149" s="66" t="s">
        <v>1126</v>
      </c>
      <c r="D149" s="54" t="s">
        <v>1125</v>
      </c>
      <c r="E149" s="52">
        <v>1970</v>
      </c>
      <c r="F149" s="58" t="s">
        <v>89</v>
      </c>
      <c r="G149" s="58">
        <v>5</v>
      </c>
      <c r="H149" s="140">
        <v>4</v>
      </c>
      <c r="I149" s="225">
        <v>4132.3</v>
      </c>
      <c r="J149" s="225">
        <v>3862.3</v>
      </c>
      <c r="K149" s="47">
        <v>208</v>
      </c>
      <c r="L149" s="117">
        <f>'Приложение 2 КСП 2018-2019 гг'!G151</f>
        <v>1247175.2899999998</v>
      </c>
      <c r="M149" s="230">
        <v>0</v>
      </c>
      <c r="N149" s="230">
        <v>0</v>
      </c>
      <c r="O149" s="230">
        <v>0</v>
      </c>
      <c r="P149" s="230">
        <f t="shared" si="2"/>
        <v>1247175.2899999998</v>
      </c>
      <c r="Q149" s="230">
        <v>0</v>
      </c>
      <c r="R149" s="230">
        <v>0</v>
      </c>
      <c r="S149" s="230" t="s">
        <v>585</v>
      </c>
      <c r="T149" s="41"/>
      <c r="U149" s="42"/>
    </row>
    <row r="150" spans="1:21" ht="9" hidden="1" customHeight="1">
      <c r="A150" s="339">
        <v>137</v>
      </c>
      <c r="B150" s="49" t="s">
        <v>1083</v>
      </c>
      <c r="C150" s="66" t="s">
        <v>1126</v>
      </c>
      <c r="D150" s="54" t="s">
        <v>1125</v>
      </c>
      <c r="E150" s="52">
        <v>1976</v>
      </c>
      <c r="F150" s="58" t="s">
        <v>87</v>
      </c>
      <c r="G150" s="58">
        <v>5</v>
      </c>
      <c r="H150" s="54">
        <v>1</v>
      </c>
      <c r="I150" s="225">
        <v>1649.7</v>
      </c>
      <c r="J150" s="225">
        <v>1540.7</v>
      </c>
      <c r="K150" s="47">
        <v>105</v>
      </c>
      <c r="L150" s="117">
        <f>'Приложение 2 КСП 2018-2019 гг'!G152</f>
        <v>497507.43999999994</v>
      </c>
      <c r="M150" s="230">
        <v>0</v>
      </c>
      <c r="N150" s="230">
        <v>0</v>
      </c>
      <c r="O150" s="230">
        <v>0</v>
      </c>
      <c r="P150" s="230">
        <f t="shared" si="2"/>
        <v>497507.43999999994</v>
      </c>
      <c r="Q150" s="230">
        <v>0</v>
      </c>
      <c r="R150" s="230">
        <v>0</v>
      </c>
      <c r="S150" s="230" t="s">
        <v>585</v>
      </c>
      <c r="T150" s="41"/>
      <c r="U150" s="42"/>
    </row>
    <row r="151" spans="1:21" ht="9" hidden="1" customHeight="1">
      <c r="A151" s="339">
        <v>138</v>
      </c>
      <c r="B151" s="49" t="s">
        <v>1084</v>
      </c>
      <c r="C151" s="66" t="s">
        <v>1126</v>
      </c>
      <c r="D151" s="54" t="s">
        <v>1125</v>
      </c>
      <c r="E151" s="52">
        <v>1974</v>
      </c>
      <c r="F151" s="58" t="s">
        <v>87</v>
      </c>
      <c r="G151" s="58">
        <v>9</v>
      </c>
      <c r="H151" s="54">
        <v>1</v>
      </c>
      <c r="I151" s="225">
        <v>6272.2</v>
      </c>
      <c r="J151" s="225">
        <v>3295.6</v>
      </c>
      <c r="K151" s="47">
        <v>383</v>
      </c>
      <c r="L151" s="117">
        <f>'Приложение 2 КСП 2018-2019 гг'!G153</f>
        <v>1400280</v>
      </c>
      <c r="M151" s="230">
        <v>0</v>
      </c>
      <c r="N151" s="230">
        <v>0</v>
      </c>
      <c r="O151" s="230">
        <v>0</v>
      </c>
      <c r="P151" s="230">
        <f t="shared" si="2"/>
        <v>1400280</v>
      </c>
      <c r="Q151" s="230">
        <v>0</v>
      </c>
      <c r="R151" s="230">
        <v>0</v>
      </c>
      <c r="S151" s="230" t="s">
        <v>585</v>
      </c>
      <c r="T151" s="41"/>
      <c r="U151" s="42"/>
    </row>
    <row r="152" spans="1:21" ht="9" hidden="1" customHeight="1">
      <c r="A152" s="339">
        <v>139</v>
      </c>
      <c r="B152" s="49" t="s">
        <v>124</v>
      </c>
      <c r="C152" s="66" t="s">
        <v>1126</v>
      </c>
      <c r="D152" s="54" t="s">
        <v>1125</v>
      </c>
      <c r="E152" s="52">
        <v>1997</v>
      </c>
      <c r="F152" s="58" t="s">
        <v>87</v>
      </c>
      <c r="G152" s="58">
        <v>5</v>
      </c>
      <c r="H152" s="54">
        <v>2</v>
      </c>
      <c r="I152" s="225">
        <v>6092.7</v>
      </c>
      <c r="J152" s="225">
        <v>5601</v>
      </c>
      <c r="K152" s="47">
        <v>253</v>
      </c>
      <c r="L152" s="117">
        <f>'Приложение 2 КСП 2018-2019 гг'!G154</f>
        <v>4290366.0000000009</v>
      </c>
      <c r="M152" s="230">
        <v>0</v>
      </c>
      <c r="N152" s="230">
        <v>0</v>
      </c>
      <c r="O152" s="230">
        <v>0</v>
      </c>
      <c r="P152" s="230">
        <f t="shared" si="2"/>
        <v>4290366.0000000009</v>
      </c>
      <c r="Q152" s="230">
        <v>0</v>
      </c>
      <c r="R152" s="230">
        <v>0</v>
      </c>
      <c r="S152" s="230" t="s">
        <v>585</v>
      </c>
      <c r="T152" s="41"/>
      <c r="U152" s="42"/>
    </row>
    <row r="153" spans="1:21" ht="9" hidden="1" customHeight="1">
      <c r="A153" s="339">
        <v>140</v>
      </c>
      <c r="B153" s="49" t="s">
        <v>1087</v>
      </c>
      <c r="C153" s="66" t="s">
        <v>1126</v>
      </c>
      <c r="D153" s="54" t="s">
        <v>1125</v>
      </c>
      <c r="E153" s="52">
        <v>1982</v>
      </c>
      <c r="F153" s="58" t="s">
        <v>89</v>
      </c>
      <c r="G153" s="58">
        <v>5</v>
      </c>
      <c r="H153" s="54">
        <v>5</v>
      </c>
      <c r="I153" s="225">
        <v>7905.3</v>
      </c>
      <c r="J153" s="225">
        <v>6517.9</v>
      </c>
      <c r="K153" s="47">
        <v>312</v>
      </c>
      <c r="L153" s="117">
        <f>'Приложение 2 КСП 2018-2019 гг'!G155</f>
        <v>6094552</v>
      </c>
      <c r="M153" s="230">
        <v>0</v>
      </c>
      <c r="N153" s="230">
        <v>0</v>
      </c>
      <c r="O153" s="230">
        <v>0</v>
      </c>
      <c r="P153" s="230">
        <f t="shared" si="2"/>
        <v>6094552</v>
      </c>
      <c r="Q153" s="230">
        <v>0</v>
      </c>
      <c r="R153" s="230">
        <v>0</v>
      </c>
      <c r="S153" s="230" t="s">
        <v>585</v>
      </c>
      <c r="T153" s="41"/>
      <c r="U153" s="42"/>
    </row>
    <row r="154" spans="1:21" ht="9" hidden="1" customHeight="1">
      <c r="A154" s="339">
        <v>141</v>
      </c>
      <c r="B154" s="49" t="s">
        <v>1088</v>
      </c>
      <c r="C154" s="66" t="s">
        <v>1126</v>
      </c>
      <c r="D154" s="54" t="s">
        <v>1125</v>
      </c>
      <c r="E154" s="52">
        <v>1989</v>
      </c>
      <c r="F154" s="58" t="s">
        <v>89</v>
      </c>
      <c r="G154" s="58">
        <v>5</v>
      </c>
      <c r="H154" s="54">
        <v>8</v>
      </c>
      <c r="I154" s="225">
        <v>5877.3</v>
      </c>
      <c r="J154" s="225">
        <v>5200.7</v>
      </c>
      <c r="K154" s="47">
        <v>310</v>
      </c>
      <c r="L154" s="117">
        <f>'Приложение 2 КСП 2018-2019 гг'!G156</f>
        <v>4090818</v>
      </c>
      <c r="M154" s="230">
        <v>0</v>
      </c>
      <c r="N154" s="230">
        <v>0</v>
      </c>
      <c r="O154" s="230">
        <v>0</v>
      </c>
      <c r="P154" s="230">
        <f t="shared" si="2"/>
        <v>4090818</v>
      </c>
      <c r="Q154" s="230">
        <v>0</v>
      </c>
      <c r="R154" s="230">
        <v>0</v>
      </c>
      <c r="S154" s="230" t="s">
        <v>585</v>
      </c>
      <c r="T154" s="41"/>
      <c r="U154" s="42"/>
    </row>
    <row r="155" spans="1:21" ht="9" hidden="1" customHeight="1">
      <c r="A155" s="339">
        <v>142</v>
      </c>
      <c r="B155" s="49" t="s">
        <v>1129</v>
      </c>
      <c r="C155" s="66" t="s">
        <v>1130</v>
      </c>
      <c r="D155" s="54" t="s">
        <v>1125</v>
      </c>
      <c r="E155" s="52">
        <v>1966</v>
      </c>
      <c r="F155" s="58" t="s">
        <v>89</v>
      </c>
      <c r="G155" s="58">
        <v>5</v>
      </c>
      <c r="H155" s="54">
        <v>4</v>
      </c>
      <c r="I155" s="225">
        <v>3821.6</v>
      </c>
      <c r="J155" s="225">
        <v>3520.6</v>
      </c>
      <c r="K155" s="47">
        <v>154</v>
      </c>
      <c r="L155" s="117">
        <f>'Приложение 2 КСП 2018-2019 гг'!G157</f>
        <v>6608166.2000000002</v>
      </c>
      <c r="M155" s="231">
        <v>0</v>
      </c>
      <c r="N155" s="231">
        <v>0</v>
      </c>
      <c r="O155" s="231">
        <v>0</v>
      </c>
      <c r="P155" s="231">
        <f t="shared" ref="P155" si="3">L155</f>
        <v>6608166.2000000002</v>
      </c>
      <c r="Q155" s="231">
        <v>0</v>
      </c>
      <c r="R155" s="231">
        <v>0</v>
      </c>
      <c r="S155" s="231" t="s">
        <v>585</v>
      </c>
      <c r="T155" s="41"/>
      <c r="U155" s="42"/>
    </row>
    <row r="156" spans="1:21" ht="9" hidden="1" customHeight="1">
      <c r="A156" s="339">
        <v>143</v>
      </c>
      <c r="B156" s="49" t="s">
        <v>1144</v>
      </c>
      <c r="C156" s="66" t="s">
        <v>1130</v>
      </c>
      <c r="D156" s="54" t="s">
        <v>1125</v>
      </c>
      <c r="E156" s="52">
        <v>1949</v>
      </c>
      <c r="F156" s="54" t="s">
        <v>87</v>
      </c>
      <c r="G156" s="58">
        <v>2</v>
      </c>
      <c r="H156" s="54">
        <v>1</v>
      </c>
      <c r="I156" s="225">
        <v>768.5</v>
      </c>
      <c r="J156" s="225">
        <v>761</v>
      </c>
      <c r="K156" s="47">
        <v>13</v>
      </c>
      <c r="L156" s="117">
        <f>'Приложение 2 КСП 2018-2019 гг'!G158</f>
        <v>3741738</v>
      </c>
      <c r="M156" s="328">
        <v>0</v>
      </c>
      <c r="N156" s="328">
        <v>0</v>
      </c>
      <c r="O156" s="328">
        <v>0</v>
      </c>
      <c r="P156" s="328">
        <f t="shared" ref="P156:P158" si="4">L156</f>
        <v>3741738</v>
      </c>
      <c r="Q156" s="328">
        <v>0</v>
      </c>
      <c r="R156" s="328">
        <v>0</v>
      </c>
      <c r="S156" s="328" t="s">
        <v>585</v>
      </c>
      <c r="T156" s="41"/>
      <c r="U156" s="42"/>
    </row>
    <row r="157" spans="1:21" ht="9" hidden="1" customHeight="1">
      <c r="A157" s="339">
        <v>144</v>
      </c>
      <c r="B157" s="49" t="s">
        <v>1145</v>
      </c>
      <c r="C157" s="66" t="s">
        <v>1130</v>
      </c>
      <c r="D157" s="54" t="s">
        <v>1125</v>
      </c>
      <c r="E157" s="52">
        <v>1949</v>
      </c>
      <c r="F157" s="54" t="s">
        <v>87</v>
      </c>
      <c r="G157" s="58">
        <v>2</v>
      </c>
      <c r="H157" s="54">
        <v>1</v>
      </c>
      <c r="I157" s="225">
        <v>270.39999999999998</v>
      </c>
      <c r="J157" s="225">
        <v>247.4</v>
      </c>
      <c r="K157" s="47">
        <v>6</v>
      </c>
      <c r="L157" s="117">
        <f>'Приложение 2 КСП 2018-2019 гг'!G159</f>
        <v>1701084</v>
      </c>
      <c r="M157" s="328">
        <v>0</v>
      </c>
      <c r="N157" s="328">
        <v>0</v>
      </c>
      <c r="O157" s="328">
        <v>0</v>
      </c>
      <c r="P157" s="328">
        <f t="shared" si="4"/>
        <v>1701084</v>
      </c>
      <c r="Q157" s="328">
        <v>0</v>
      </c>
      <c r="R157" s="328">
        <v>0</v>
      </c>
      <c r="S157" s="328" t="s">
        <v>585</v>
      </c>
      <c r="T157" s="41"/>
      <c r="U157" s="42"/>
    </row>
    <row r="158" spans="1:21" ht="9" hidden="1" customHeight="1">
      <c r="A158" s="339">
        <v>145</v>
      </c>
      <c r="B158" s="49" t="s">
        <v>1146</v>
      </c>
      <c r="C158" s="66" t="s">
        <v>1130</v>
      </c>
      <c r="D158" s="54" t="s">
        <v>1125</v>
      </c>
      <c r="E158" s="52">
        <v>1978</v>
      </c>
      <c r="F158" s="58" t="s">
        <v>89</v>
      </c>
      <c r="G158" s="58">
        <v>5</v>
      </c>
      <c r="H158" s="54">
        <v>8</v>
      </c>
      <c r="I158" s="225">
        <v>9767.7000000000007</v>
      </c>
      <c r="J158" s="225">
        <v>8372</v>
      </c>
      <c r="K158" s="47">
        <v>263</v>
      </c>
      <c r="L158" s="117">
        <f>'Приложение 2 КСП 2018-2019 гг'!G160</f>
        <v>5923851.21</v>
      </c>
      <c r="M158" s="328">
        <v>0</v>
      </c>
      <c r="N158" s="328">
        <v>0</v>
      </c>
      <c r="O158" s="328">
        <v>0</v>
      </c>
      <c r="P158" s="328">
        <f t="shared" si="4"/>
        <v>5923851.21</v>
      </c>
      <c r="Q158" s="328">
        <v>0</v>
      </c>
      <c r="R158" s="328">
        <v>0</v>
      </c>
      <c r="S158" s="328" t="s">
        <v>585</v>
      </c>
      <c r="T158" s="41"/>
      <c r="U158" s="42"/>
    </row>
    <row r="159" spans="1:21" ht="26.25" hidden="1" customHeight="1">
      <c r="A159" s="599" t="s">
        <v>107</v>
      </c>
      <c r="B159" s="599"/>
      <c r="C159" s="46"/>
      <c r="D159" s="228" t="s">
        <v>387</v>
      </c>
      <c r="E159" s="228" t="s">
        <v>387</v>
      </c>
      <c r="F159" s="228" t="s">
        <v>387</v>
      </c>
      <c r="G159" s="228" t="s">
        <v>387</v>
      </c>
      <c r="H159" s="228" t="s">
        <v>387</v>
      </c>
      <c r="I159" s="123">
        <f>SUM(I14:I158)</f>
        <v>590887.05999999982</v>
      </c>
      <c r="J159" s="123">
        <f t="shared" ref="J159:R159" si="5">SUM(J14:J158)</f>
        <v>509262.11</v>
      </c>
      <c r="K159" s="123">
        <f t="shared" si="5"/>
        <v>19621</v>
      </c>
      <c r="L159" s="123">
        <f t="shared" si="5"/>
        <v>526871774.15714985</v>
      </c>
      <c r="M159" s="123">
        <f t="shared" si="5"/>
        <v>0</v>
      </c>
      <c r="N159" s="123">
        <f t="shared" si="5"/>
        <v>0</v>
      </c>
      <c r="O159" s="123">
        <f t="shared" si="5"/>
        <v>0</v>
      </c>
      <c r="P159" s="123">
        <f t="shared" si="5"/>
        <v>526871774.15714985</v>
      </c>
      <c r="Q159" s="123">
        <f t="shared" si="5"/>
        <v>0</v>
      </c>
      <c r="R159" s="123">
        <f t="shared" si="5"/>
        <v>0</v>
      </c>
      <c r="S159" s="230"/>
      <c r="T159" s="160"/>
      <c r="U159" s="42"/>
    </row>
    <row r="160" spans="1:21" ht="9" hidden="1" customHeight="1">
      <c r="A160" s="502" t="s">
        <v>219</v>
      </c>
      <c r="B160" s="502"/>
      <c r="C160" s="502"/>
      <c r="D160" s="502"/>
      <c r="E160" s="502"/>
      <c r="F160" s="502"/>
      <c r="G160" s="502"/>
      <c r="H160" s="502"/>
      <c r="I160" s="502"/>
      <c r="J160" s="502"/>
      <c r="K160" s="502"/>
      <c r="L160" s="502"/>
      <c r="M160" s="502"/>
      <c r="N160" s="502"/>
      <c r="O160" s="502"/>
      <c r="P160" s="502"/>
      <c r="Q160" s="502"/>
      <c r="R160" s="502"/>
      <c r="S160" s="502"/>
      <c r="T160" s="162"/>
      <c r="U160" s="162"/>
    </row>
    <row r="161" spans="1:21" ht="9" hidden="1" customHeight="1">
      <c r="A161" s="228">
        <v>146</v>
      </c>
      <c r="B161" s="173" t="s">
        <v>746</v>
      </c>
      <c r="C161" s="214" t="s">
        <v>1126</v>
      </c>
      <c r="D161" s="119" t="s">
        <v>1125</v>
      </c>
      <c r="E161" s="174" t="s">
        <v>594</v>
      </c>
      <c r="F161" s="175" t="s">
        <v>87</v>
      </c>
      <c r="G161" s="175">
        <v>5</v>
      </c>
      <c r="H161" s="176">
        <v>4</v>
      </c>
      <c r="I161" s="177">
        <v>3443.4</v>
      </c>
      <c r="J161" s="177">
        <v>2530.3000000000002</v>
      </c>
      <c r="K161" s="323">
        <v>121</v>
      </c>
      <c r="L161" s="117">
        <f>'Приложение 2 КСП 2018-2019 гг'!G163</f>
        <v>4168248.77</v>
      </c>
      <c r="M161" s="230">
        <v>0</v>
      </c>
      <c r="N161" s="230">
        <v>0</v>
      </c>
      <c r="O161" s="230">
        <v>0</v>
      </c>
      <c r="P161" s="230">
        <f t="shared" ref="P161:P167" si="6">L161</f>
        <v>4168248.77</v>
      </c>
      <c r="Q161" s="230">
        <v>0</v>
      </c>
      <c r="R161" s="230">
        <v>0</v>
      </c>
      <c r="S161" s="230" t="s">
        <v>585</v>
      </c>
      <c r="T161" s="41"/>
      <c r="U161" s="42"/>
    </row>
    <row r="162" spans="1:21" ht="9" hidden="1" customHeight="1">
      <c r="A162" s="228">
        <v>147</v>
      </c>
      <c r="B162" s="173" t="s">
        <v>747</v>
      </c>
      <c r="C162" s="214" t="s">
        <v>1126</v>
      </c>
      <c r="D162" s="119" t="s">
        <v>1125</v>
      </c>
      <c r="E162" s="174" t="s">
        <v>749</v>
      </c>
      <c r="F162" s="175" t="s">
        <v>87</v>
      </c>
      <c r="G162" s="175">
        <v>4</v>
      </c>
      <c r="H162" s="176">
        <v>2</v>
      </c>
      <c r="I162" s="177">
        <v>1841.5</v>
      </c>
      <c r="J162" s="177">
        <v>1510.5</v>
      </c>
      <c r="K162" s="323">
        <v>70</v>
      </c>
      <c r="L162" s="117">
        <f>'Приложение 2 КСП 2018-2019 гг'!G164</f>
        <v>2075139.66</v>
      </c>
      <c r="M162" s="230">
        <v>0</v>
      </c>
      <c r="N162" s="230">
        <v>0</v>
      </c>
      <c r="O162" s="230">
        <v>0</v>
      </c>
      <c r="P162" s="230">
        <f t="shared" si="6"/>
        <v>2075139.66</v>
      </c>
      <c r="Q162" s="230">
        <v>0</v>
      </c>
      <c r="R162" s="230">
        <v>0</v>
      </c>
      <c r="S162" s="230" t="s">
        <v>585</v>
      </c>
      <c r="T162" s="41"/>
      <c r="U162" s="42"/>
    </row>
    <row r="163" spans="1:21" ht="9" hidden="1" customHeight="1">
      <c r="A163" s="339">
        <v>148</v>
      </c>
      <c r="B163" s="173" t="s">
        <v>748</v>
      </c>
      <c r="C163" s="214" t="s">
        <v>1126</v>
      </c>
      <c r="D163" s="119" t="s">
        <v>1125</v>
      </c>
      <c r="E163" s="174" t="s">
        <v>602</v>
      </c>
      <c r="F163" s="175" t="s">
        <v>87</v>
      </c>
      <c r="G163" s="175">
        <v>4</v>
      </c>
      <c r="H163" s="176">
        <v>3</v>
      </c>
      <c r="I163" s="177">
        <v>2582.9</v>
      </c>
      <c r="J163" s="177">
        <v>1684.6</v>
      </c>
      <c r="K163" s="323">
        <v>70</v>
      </c>
      <c r="L163" s="117">
        <f>'Приложение 2 КСП 2018-2019 гг'!G165</f>
        <v>3498935.57</v>
      </c>
      <c r="M163" s="230">
        <v>0</v>
      </c>
      <c r="N163" s="230">
        <v>0</v>
      </c>
      <c r="O163" s="230">
        <v>0</v>
      </c>
      <c r="P163" s="230">
        <f t="shared" si="6"/>
        <v>3498935.57</v>
      </c>
      <c r="Q163" s="230">
        <v>0</v>
      </c>
      <c r="R163" s="230">
        <v>0</v>
      </c>
      <c r="S163" s="230" t="s">
        <v>585</v>
      </c>
      <c r="T163" s="41"/>
      <c r="U163" s="42"/>
    </row>
    <row r="164" spans="1:21" ht="9" hidden="1" customHeight="1">
      <c r="A164" s="339">
        <v>149</v>
      </c>
      <c r="B164" s="173" t="s">
        <v>1049</v>
      </c>
      <c r="C164" s="214" t="s">
        <v>1126</v>
      </c>
      <c r="D164" s="119" t="s">
        <v>1125</v>
      </c>
      <c r="E164" s="174" t="s">
        <v>603</v>
      </c>
      <c r="F164" s="175" t="s">
        <v>87</v>
      </c>
      <c r="G164" s="175">
        <v>5</v>
      </c>
      <c r="H164" s="176">
        <v>4</v>
      </c>
      <c r="I164" s="177">
        <v>3813.8</v>
      </c>
      <c r="J164" s="177">
        <v>3523.8</v>
      </c>
      <c r="K164" s="323">
        <v>131</v>
      </c>
      <c r="L164" s="117">
        <f>'Приложение 2 КСП 2018-2019 гг'!G166</f>
        <v>3922059.16</v>
      </c>
      <c r="M164" s="230">
        <v>0</v>
      </c>
      <c r="N164" s="230">
        <v>0</v>
      </c>
      <c r="O164" s="230">
        <v>0</v>
      </c>
      <c r="P164" s="230">
        <f t="shared" si="6"/>
        <v>3922059.16</v>
      </c>
      <c r="Q164" s="230">
        <v>0</v>
      </c>
      <c r="R164" s="230">
        <v>0</v>
      </c>
      <c r="S164" s="230" t="s">
        <v>585</v>
      </c>
      <c r="T164" s="41"/>
      <c r="U164" s="42"/>
    </row>
    <row r="165" spans="1:21" ht="9" hidden="1" customHeight="1">
      <c r="A165" s="339">
        <v>150</v>
      </c>
      <c r="B165" s="173" t="s">
        <v>1050</v>
      </c>
      <c r="C165" s="214" t="s">
        <v>1126</v>
      </c>
      <c r="D165" s="119" t="s">
        <v>1125</v>
      </c>
      <c r="E165" s="174" t="s">
        <v>296</v>
      </c>
      <c r="F165" s="175" t="s">
        <v>89</v>
      </c>
      <c r="G165" s="175">
        <v>5</v>
      </c>
      <c r="H165" s="176">
        <v>8</v>
      </c>
      <c r="I165" s="177">
        <v>6928</v>
      </c>
      <c r="J165" s="177">
        <v>5924.7</v>
      </c>
      <c r="K165" s="323">
        <v>282</v>
      </c>
      <c r="L165" s="117">
        <f>'Приложение 2 КСП 2018-2019 гг'!G167</f>
        <v>7945971.6299999999</v>
      </c>
      <c r="M165" s="230">
        <v>0</v>
      </c>
      <c r="N165" s="230">
        <v>0</v>
      </c>
      <c r="O165" s="230">
        <v>0</v>
      </c>
      <c r="P165" s="230">
        <f t="shared" si="6"/>
        <v>7945971.6299999999</v>
      </c>
      <c r="Q165" s="230">
        <v>0</v>
      </c>
      <c r="R165" s="230">
        <v>0</v>
      </c>
      <c r="S165" s="230" t="s">
        <v>585</v>
      </c>
      <c r="T165" s="41"/>
      <c r="U165" s="42"/>
    </row>
    <row r="166" spans="1:21" ht="9" hidden="1" customHeight="1">
      <c r="A166" s="339">
        <v>151</v>
      </c>
      <c r="B166" s="173" t="s">
        <v>227</v>
      </c>
      <c r="C166" s="214" t="s">
        <v>1127</v>
      </c>
      <c r="D166" s="240" t="s">
        <v>1125</v>
      </c>
      <c r="E166" s="174">
        <v>1917</v>
      </c>
      <c r="F166" s="175" t="s">
        <v>87</v>
      </c>
      <c r="G166" s="175">
        <v>3</v>
      </c>
      <c r="H166" s="176">
        <v>1</v>
      </c>
      <c r="I166" s="177">
        <v>703.1</v>
      </c>
      <c r="J166" s="177">
        <v>634.79999999999995</v>
      </c>
      <c r="K166" s="323">
        <v>19</v>
      </c>
      <c r="L166" s="117">
        <f>'Приложение 2 КСП 2018-2019 гг'!G168</f>
        <v>1106278.29</v>
      </c>
      <c r="M166" s="234">
        <v>0</v>
      </c>
      <c r="N166" s="230">
        <v>0</v>
      </c>
      <c r="O166" s="230">
        <v>0</v>
      </c>
      <c r="P166" s="230">
        <f t="shared" si="6"/>
        <v>1106278.29</v>
      </c>
      <c r="Q166" s="230">
        <v>0</v>
      </c>
      <c r="R166" s="230">
        <v>0</v>
      </c>
      <c r="S166" s="230" t="s">
        <v>585</v>
      </c>
      <c r="T166" s="41"/>
      <c r="U166" s="42"/>
    </row>
    <row r="167" spans="1:21" ht="9" hidden="1" customHeight="1">
      <c r="A167" s="339">
        <v>152</v>
      </c>
      <c r="B167" s="173" t="s">
        <v>1029</v>
      </c>
      <c r="C167" s="214" t="s">
        <v>1126</v>
      </c>
      <c r="D167" s="240" t="s">
        <v>1125</v>
      </c>
      <c r="E167" s="174">
        <v>1966</v>
      </c>
      <c r="F167" s="175" t="s">
        <v>89</v>
      </c>
      <c r="G167" s="175">
        <v>4</v>
      </c>
      <c r="H167" s="176">
        <v>4</v>
      </c>
      <c r="I167" s="177">
        <v>3064</v>
      </c>
      <c r="J167" s="177">
        <v>2829.6</v>
      </c>
      <c r="K167" s="323">
        <v>132</v>
      </c>
      <c r="L167" s="117">
        <f>'Приложение 2 КСП 2018-2019 гг'!G169</f>
        <v>857510.28</v>
      </c>
      <c r="M167" s="234">
        <v>0</v>
      </c>
      <c r="N167" s="230">
        <v>0</v>
      </c>
      <c r="O167" s="230">
        <v>0</v>
      </c>
      <c r="P167" s="230">
        <f t="shared" si="6"/>
        <v>857510.28</v>
      </c>
      <c r="Q167" s="230">
        <v>0</v>
      </c>
      <c r="R167" s="230">
        <v>0</v>
      </c>
      <c r="S167" s="230" t="s">
        <v>585</v>
      </c>
      <c r="T167" s="41"/>
      <c r="U167" s="42"/>
    </row>
    <row r="168" spans="1:21" ht="24.75" hidden="1" customHeight="1">
      <c r="A168" s="599" t="s">
        <v>220</v>
      </c>
      <c r="B168" s="599"/>
      <c r="C168" s="46"/>
      <c r="D168" s="227"/>
      <c r="E168" s="54" t="s">
        <v>387</v>
      </c>
      <c r="F168" s="54" t="s">
        <v>387</v>
      </c>
      <c r="G168" s="54" t="s">
        <v>387</v>
      </c>
      <c r="H168" s="54" t="s">
        <v>387</v>
      </c>
      <c r="I168" s="225">
        <f>SUM(I161:I167)</f>
        <v>22376.699999999997</v>
      </c>
      <c r="J168" s="225">
        <f t="shared" ref="J168:R168" si="7">SUM(J161:J167)</f>
        <v>18638.3</v>
      </c>
      <c r="K168" s="47">
        <f t="shared" si="7"/>
        <v>825</v>
      </c>
      <c r="L168" s="225">
        <f t="shared" si="7"/>
        <v>23574143.359999999</v>
      </c>
      <c r="M168" s="225">
        <f t="shared" si="7"/>
        <v>0</v>
      </c>
      <c r="N168" s="225">
        <f t="shared" si="7"/>
        <v>0</v>
      </c>
      <c r="O168" s="225">
        <f t="shared" si="7"/>
        <v>0</v>
      </c>
      <c r="P168" s="225">
        <f t="shared" si="7"/>
        <v>23574143.359999999</v>
      </c>
      <c r="Q168" s="225">
        <f t="shared" si="7"/>
        <v>0</v>
      </c>
      <c r="R168" s="225">
        <f t="shared" si="7"/>
        <v>0</v>
      </c>
      <c r="S168" s="230"/>
      <c r="T168" s="41"/>
      <c r="U168" s="42"/>
    </row>
    <row r="169" spans="1:21" ht="9" hidden="1" customHeight="1">
      <c r="A169" s="502" t="s">
        <v>229</v>
      </c>
      <c r="B169" s="502"/>
      <c r="C169" s="502"/>
      <c r="D169" s="502"/>
      <c r="E169" s="502"/>
      <c r="F169" s="502"/>
      <c r="G169" s="502"/>
      <c r="H169" s="502"/>
      <c r="I169" s="502"/>
      <c r="J169" s="502"/>
      <c r="K169" s="502"/>
      <c r="L169" s="502"/>
      <c r="M169" s="502"/>
      <c r="N169" s="502"/>
      <c r="O169" s="502"/>
      <c r="P169" s="502"/>
      <c r="Q169" s="502"/>
      <c r="R169" s="502"/>
      <c r="S169" s="502"/>
      <c r="T169" s="162"/>
      <c r="U169" s="162"/>
    </row>
    <row r="170" spans="1:21" ht="9" hidden="1" customHeight="1">
      <c r="A170" s="228">
        <v>153</v>
      </c>
      <c r="B170" s="125" t="s">
        <v>759</v>
      </c>
      <c r="C170" s="215" t="s">
        <v>1126</v>
      </c>
      <c r="D170" s="126" t="s">
        <v>1125</v>
      </c>
      <c r="E170" s="127" t="s">
        <v>613</v>
      </c>
      <c r="F170" s="128" t="s">
        <v>89</v>
      </c>
      <c r="G170" s="128">
        <v>5</v>
      </c>
      <c r="H170" s="178">
        <v>6</v>
      </c>
      <c r="I170" s="129">
        <v>4378.8999999999996</v>
      </c>
      <c r="J170" s="129">
        <v>3936.1</v>
      </c>
      <c r="K170" s="178">
        <v>18</v>
      </c>
      <c r="L170" s="117">
        <f>'Приложение 2 КСП 2018-2019 гг'!G172</f>
        <v>4064267.2</v>
      </c>
      <c r="M170" s="230">
        <v>0</v>
      </c>
      <c r="N170" s="230">
        <v>0</v>
      </c>
      <c r="O170" s="230">
        <v>0</v>
      </c>
      <c r="P170" s="230">
        <f>L170</f>
        <v>4064267.2</v>
      </c>
      <c r="Q170" s="230">
        <v>0</v>
      </c>
      <c r="R170" s="230">
        <v>0</v>
      </c>
      <c r="S170" s="46" t="s">
        <v>585</v>
      </c>
      <c r="T170" s="41"/>
      <c r="U170" s="42"/>
    </row>
    <row r="171" spans="1:21" ht="9" hidden="1" customHeight="1">
      <c r="A171" s="228">
        <v>154</v>
      </c>
      <c r="B171" s="125" t="s">
        <v>760</v>
      </c>
      <c r="C171" s="215" t="s">
        <v>1126</v>
      </c>
      <c r="D171" s="126" t="s">
        <v>1125</v>
      </c>
      <c r="E171" s="127" t="s">
        <v>296</v>
      </c>
      <c r="F171" s="128" t="s">
        <v>87</v>
      </c>
      <c r="G171" s="128">
        <v>5</v>
      </c>
      <c r="H171" s="178">
        <v>4</v>
      </c>
      <c r="I171" s="129">
        <v>3170.6</v>
      </c>
      <c r="J171" s="129">
        <v>2892.3</v>
      </c>
      <c r="K171" s="178">
        <v>131</v>
      </c>
      <c r="L171" s="117">
        <f>'Приложение 2 КСП 2018-2019 гг'!G173</f>
        <v>2524419.2200000002</v>
      </c>
      <c r="M171" s="230">
        <v>0</v>
      </c>
      <c r="N171" s="230">
        <v>0</v>
      </c>
      <c r="O171" s="230">
        <v>0</v>
      </c>
      <c r="P171" s="230">
        <f t="shared" ref="P171:P182" si="8">L171</f>
        <v>2524419.2200000002</v>
      </c>
      <c r="Q171" s="230">
        <v>0</v>
      </c>
      <c r="R171" s="230">
        <v>0</v>
      </c>
      <c r="S171" s="46" t="s">
        <v>585</v>
      </c>
      <c r="T171" s="41"/>
      <c r="U171" s="42"/>
    </row>
    <row r="172" spans="1:21" ht="9" hidden="1" customHeight="1">
      <c r="A172" s="329">
        <v>155</v>
      </c>
      <c r="B172" s="125" t="s">
        <v>761</v>
      </c>
      <c r="C172" s="215" t="s">
        <v>1126</v>
      </c>
      <c r="D172" s="126" t="s">
        <v>1125</v>
      </c>
      <c r="E172" s="127" t="s">
        <v>595</v>
      </c>
      <c r="F172" s="128" t="s">
        <v>87</v>
      </c>
      <c r="G172" s="128">
        <v>5</v>
      </c>
      <c r="H172" s="178">
        <v>6</v>
      </c>
      <c r="I172" s="129">
        <v>4550.1000000000004</v>
      </c>
      <c r="J172" s="129">
        <v>4096.3999999999996</v>
      </c>
      <c r="K172" s="178">
        <v>144</v>
      </c>
      <c r="L172" s="117">
        <f>'Приложение 2 КСП 2018-2019 гг'!G174</f>
        <v>1851572.8</v>
      </c>
      <c r="M172" s="210">
        <v>0</v>
      </c>
      <c r="N172" s="61">
        <v>0</v>
      </c>
      <c r="O172" s="230">
        <v>0</v>
      </c>
      <c r="P172" s="230">
        <f t="shared" si="8"/>
        <v>1851572.8</v>
      </c>
      <c r="Q172" s="230">
        <v>0</v>
      </c>
      <c r="R172" s="230">
        <v>0</v>
      </c>
      <c r="S172" s="46" t="s">
        <v>585</v>
      </c>
      <c r="T172" s="41"/>
      <c r="U172" s="42"/>
    </row>
    <row r="173" spans="1:21" ht="9" hidden="1" customHeight="1">
      <c r="A173" s="329">
        <v>156</v>
      </c>
      <c r="B173" s="125" t="s">
        <v>762</v>
      </c>
      <c r="C173" s="215" t="s">
        <v>1126</v>
      </c>
      <c r="D173" s="126" t="s">
        <v>1125</v>
      </c>
      <c r="E173" s="127" t="s">
        <v>296</v>
      </c>
      <c r="F173" s="128" t="s">
        <v>87</v>
      </c>
      <c r="G173" s="128">
        <v>5</v>
      </c>
      <c r="H173" s="178">
        <v>5</v>
      </c>
      <c r="I173" s="129">
        <v>4074.4</v>
      </c>
      <c r="J173" s="129">
        <v>3701.7</v>
      </c>
      <c r="K173" s="178">
        <v>76</v>
      </c>
      <c r="L173" s="117">
        <f>'Приложение 2 КСП 2018-2019 гг'!G175</f>
        <v>3135483.45</v>
      </c>
      <c r="M173" s="210">
        <v>0</v>
      </c>
      <c r="N173" s="61">
        <v>0</v>
      </c>
      <c r="O173" s="230">
        <v>0</v>
      </c>
      <c r="P173" s="230">
        <f t="shared" si="8"/>
        <v>3135483.45</v>
      </c>
      <c r="Q173" s="230">
        <v>0</v>
      </c>
      <c r="R173" s="230">
        <v>0</v>
      </c>
      <c r="S173" s="46" t="s">
        <v>585</v>
      </c>
      <c r="T173" s="41"/>
      <c r="U173" s="42"/>
    </row>
    <row r="174" spans="1:21" ht="9" hidden="1" customHeight="1">
      <c r="A174" s="329">
        <v>157</v>
      </c>
      <c r="B174" s="125" t="s">
        <v>763</v>
      </c>
      <c r="C174" s="215" t="s">
        <v>1126</v>
      </c>
      <c r="D174" s="126" t="s">
        <v>1125</v>
      </c>
      <c r="E174" s="127" t="s">
        <v>595</v>
      </c>
      <c r="F174" s="128" t="s">
        <v>87</v>
      </c>
      <c r="G174" s="128">
        <v>5</v>
      </c>
      <c r="H174" s="178">
        <v>2</v>
      </c>
      <c r="I174" s="129">
        <v>1483.7</v>
      </c>
      <c r="J174" s="129">
        <v>1344.9</v>
      </c>
      <c r="K174" s="178">
        <v>49</v>
      </c>
      <c r="L174" s="117">
        <f>'Приложение 2 КСП 2018-2019 гг'!G176</f>
        <v>1218349.8600000001</v>
      </c>
      <c r="M174" s="230">
        <v>0</v>
      </c>
      <c r="N174" s="230">
        <v>0</v>
      </c>
      <c r="O174" s="230">
        <v>0</v>
      </c>
      <c r="P174" s="230">
        <f t="shared" si="8"/>
        <v>1218349.8600000001</v>
      </c>
      <c r="Q174" s="230">
        <v>0</v>
      </c>
      <c r="R174" s="230">
        <v>0</v>
      </c>
      <c r="S174" s="46" t="s">
        <v>585</v>
      </c>
      <c r="T174" s="41"/>
      <c r="U174" s="42"/>
    </row>
    <row r="175" spans="1:21" ht="9" hidden="1" customHeight="1">
      <c r="A175" s="329">
        <v>158</v>
      </c>
      <c r="B175" s="125" t="s">
        <v>764</v>
      </c>
      <c r="C175" s="215" t="s">
        <v>1126</v>
      </c>
      <c r="D175" s="119" t="s">
        <v>1125</v>
      </c>
      <c r="E175" s="127" t="s">
        <v>613</v>
      </c>
      <c r="F175" s="128" t="s">
        <v>87</v>
      </c>
      <c r="G175" s="128">
        <v>5</v>
      </c>
      <c r="H175" s="178">
        <v>4</v>
      </c>
      <c r="I175" s="129">
        <v>3633.2</v>
      </c>
      <c r="J175" s="129">
        <v>3203</v>
      </c>
      <c r="K175" s="178">
        <v>71</v>
      </c>
      <c r="L175" s="117">
        <f>'Приложение 2 КСП 2018-2019 гг'!G177</f>
        <v>3040799.69</v>
      </c>
      <c r="M175" s="230">
        <v>0</v>
      </c>
      <c r="N175" s="230">
        <v>0</v>
      </c>
      <c r="O175" s="230">
        <v>0</v>
      </c>
      <c r="P175" s="230">
        <f t="shared" si="8"/>
        <v>3040799.69</v>
      </c>
      <c r="Q175" s="230">
        <v>0</v>
      </c>
      <c r="R175" s="230">
        <v>0</v>
      </c>
      <c r="S175" s="46" t="s">
        <v>585</v>
      </c>
      <c r="T175" s="41"/>
      <c r="U175" s="42"/>
    </row>
    <row r="176" spans="1:21" ht="9" hidden="1" customHeight="1">
      <c r="A176" s="329">
        <v>159</v>
      </c>
      <c r="B176" s="125" t="s">
        <v>765</v>
      </c>
      <c r="C176" s="215" t="s">
        <v>1126</v>
      </c>
      <c r="D176" s="119" t="s">
        <v>1125</v>
      </c>
      <c r="E176" s="127" t="s">
        <v>296</v>
      </c>
      <c r="F176" s="128" t="s">
        <v>89</v>
      </c>
      <c r="G176" s="128">
        <v>3</v>
      </c>
      <c r="H176" s="178">
        <v>3</v>
      </c>
      <c r="I176" s="129">
        <v>1391.7</v>
      </c>
      <c r="J176" s="129">
        <v>1271</v>
      </c>
      <c r="K176" s="178">
        <v>30</v>
      </c>
      <c r="L176" s="117">
        <f>'Приложение 2 КСП 2018-2019 гг'!G178</f>
        <v>1904017.94</v>
      </c>
      <c r="M176" s="230">
        <v>0</v>
      </c>
      <c r="N176" s="230">
        <v>0</v>
      </c>
      <c r="O176" s="230">
        <v>0</v>
      </c>
      <c r="P176" s="230">
        <f t="shared" si="8"/>
        <v>1904017.94</v>
      </c>
      <c r="Q176" s="230">
        <v>0</v>
      </c>
      <c r="R176" s="230">
        <v>0</v>
      </c>
      <c r="S176" s="46" t="s">
        <v>585</v>
      </c>
      <c r="T176" s="41"/>
      <c r="U176" s="42"/>
    </row>
    <row r="177" spans="1:22" ht="9" hidden="1" customHeight="1">
      <c r="A177" s="329">
        <v>160</v>
      </c>
      <c r="B177" s="125" t="s">
        <v>766</v>
      </c>
      <c r="C177" s="215" t="s">
        <v>1126</v>
      </c>
      <c r="D177" s="119" t="s">
        <v>1125</v>
      </c>
      <c r="E177" s="127" t="s">
        <v>588</v>
      </c>
      <c r="F177" s="128" t="s">
        <v>87</v>
      </c>
      <c r="G177" s="128">
        <v>5</v>
      </c>
      <c r="H177" s="178">
        <v>6</v>
      </c>
      <c r="I177" s="129">
        <v>4908.8</v>
      </c>
      <c r="J177" s="129">
        <v>4444.8</v>
      </c>
      <c r="K177" s="178">
        <v>21</v>
      </c>
      <c r="L177" s="117">
        <f>'Приложение 2 КСП 2018-2019 гг'!G179</f>
        <v>4835168.54</v>
      </c>
      <c r="M177" s="230">
        <v>0</v>
      </c>
      <c r="N177" s="230">
        <v>0</v>
      </c>
      <c r="O177" s="230">
        <v>0</v>
      </c>
      <c r="P177" s="230">
        <f t="shared" si="8"/>
        <v>4835168.54</v>
      </c>
      <c r="Q177" s="230">
        <v>0</v>
      </c>
      <c r="R177" s="230">
        <v>0</v>
      </c>
      <c r="S177" s="46" t="s">
        <v>585</v>
      </c>
      <c r="T177" s="41"/>
      <c r="U177" s="42"/>
    </row>
    <row r="178" spans="1:22" ht="9" hidden="1" customHeight="1">
      <c r="A178" s="329">
        <v>161</v>
      </c>
      <c r="B178" s="125" t="s">
        <v>767</v>
      </c>
      <c r="C178" s="215" t="s">
        <v>1126</v>
      </c>
      <c r="D178" s="119" t="s">
        <v>1125</v>
      </c>
      <c r="E178" s="127" t="s">
        <v>588</v>
      </c>
      <c r="F178" s="128" t="s">
        <v>87</v>
      </c>
      <c r="G178" s="128">
        <v>2</v>
      </c>
      <c r="H178" s="178">
        <v>3</v>
      </c>
      <c r="I178" s="129">
        <v>946.2</v>
      </c>
      <c r="J178" s="129">
        <v>861.6</v>
      </c>
      <c r="K178" s="178">
        <v>29</v>
      </c>
      <c r="L178" s="117">
        <f>'Приложение 2 КСП 2018-2019 гг'!G180</f>
        <v>2876312.1</v>
      </c>
      <c r="M178" s="230">
        <v>0</v>
      </c>
      <c r="N178" s="230">
        <v>0</v>
      </c>
      <c r="O178" s="230">
        <v>0</v>
      </c>
      <c r="P178" s="230">
        <f t="shared" si="8"/>
        <v>2876312.1</v>
      </c>
      <c r="Q178" s="230">
        <v>0</v>
      </c>
      <c r="R178" s="230">
        <v>0</v>
      </c>
      <c r="S178" s="46" t="s">
        <v>585</v>
      </c>
      <c r="T178" s="41"/>
      <c r="U178" s="42"/>
    </row>
    <row r="179" spans="1:22" ht="9" hidden="1" customHeight="1">
      <c r="A179" s="329">
        <v>162</v>
      </c>
      <c r="B179" s="125" t="s">
        <v>768</v>
      </c>
      <c r="C179" s="215" t="s">
        <v>1126</v>
      </c>
      <c r="D179" s="119" t="s">
        <v>1125</v>
      </c>
      <c r="E179" s="127" t="s">
        <v>296</v>
      </c>
      <c r="F179" s="128" t="s">
        <v>87</v>
      </c>
      <c r="G179" s="128">
        <v>2</v>
      </c>
      <c r="H179" s="178">
        <v>3</v>
      </c>
      <c r="I179" s="129">
        <v>916</v>
      </c>
      <c r="J179" s="129">
        <v>836.9</v>
      </c>
      <c r="K179" s="178">
        <v>133</v>
      </c>
      <c r="L179" s="117">
        <f>'Приложение 2 КСП 2018-2019 гг'!G181</f>
        <v>2067997.92</v>
      </c>
      <c r="M179" s="230">
        <v>0</v>
      </c>
      <c r="N179" s="230">
        <v>0</v>
      </c>
      <c r="O179" s="230">
        <v>0</v>
      </c>
      <c r="P179" s="230">
        <f t="shared" si="8"/>
        <v>2067997.92</v>
      </c>
      <c r="Q179" s="230">
        <v>0</v>
      </c>
      <c r="R179" s="230">
        <v>0</v>
      </c>
      <c r="S179" s="46" t="s">
        <v>585</v>
      </c>
      <c r="T179" s="41"/>
      <c r="U179" s="42"/>
    </row>
    <row r="180" spans="1:22" ht="9" hidden="1" customHeight="1">
      <c r="A180" s="329">
        <v>163</v>
      </c>
      <c r="B180" s="125" t="s">
        <v>769</v>
      </c>
      <c r="C180" s="215" t="s">
        <v>1126</v>
      </c>
      <c r="D180" s="119" t="s">
        <v>1125</v>
      </c>
      <c r="E180" s="127" t="s">
        <v>589</v>
      </c>
      <c r="F180" s="128" t="s">
        <v>89</v>
      </c>
      <c r="G180" s="128">
        <v>5</v>
      </c>
      <c r="H180" s="178">
        <v>1</v>
      </c>
      <c r="I180" s="129">
        <v>2427.5</v>
      </c>
      <c r="J180" s="129">
        <v>1990.5</v>
      </c>
      <c r="K180" s="178">
        <v>70</v>
      </c>
      <c r="L180" s="117">
        <f>'Приложение 2 КСП 2018-2019 гг'!G182</f>
        <v>1560399.02</v>
      </c>
      <c r="M180" s="230">
        <v>0</v>
      </c>
      <c r="N180" s="230">
        <v>0</v>
      </c>
      <c r="O180" s="230">
        <v>0</v>
      </c>
      <c r="P180" s="230">
        <f t="shared" si="8"/>
        <v>1560399.02</v>
      </c>
      <c r="Q180" s="230">
        <v>0</v>
      </c>
      <c r="R180" s="230">
        <v>0</v>
      </c>
      <c r="S180" s="46" t="s">
        <v>585</v>
      </c>
      <c r="T180" s="41"/>
      <c r="U180" s="42"/>
    </row>
    <row r="181" spans="1:22" ht="9" hidden="1" customHeight="1">
      <c r="A181" s="329">
        <v>164</v>
      </c>
      <c r="B181" s="125" t="s">
        <v>770</v>
      </c>
      <c r="C181" s="215" t="s">
        <v>1126</v>
      </c>
      <c r="D181" s="119" t="s">
        <v>1125</v>
      </c>
      <c r="E181" s="127" t="s">
        <v>604</v>
      </c>
      <c r="F181" s="128" t="s">
        <v>89</v>
      </c>
      <c r="G181" s="128">
        <v>5</v>
      </c>
      <c r="H181" s="178">
        <v>6</v>
      </c>
      <c r="I181" s="129">
        <v>4950.8999999999996</v>
      </c>
      <c r="J181" s="129">
        <v>4338.1000000000004</v>
      </c>
      <c r="K181" s="178">
        <v>190</v>
      </c>
      <c r="L181" s="117">
        <f>'Приложение 2 КСП 2018-2019 гг'!G183</f>
        <v>4467560</v>
      </c>
      <c r="M181" s="230">
        <v>0</v>
      </c>
      <c r="N181" s="230">
        <v>0</v>
      </c>
      <c r="O181" s="230">
        <v>0</v>
      </c>
      <c r="P181" s="230">
        <f t="shared" si="8"/>
        <v>4467560</v>
      </c>
      <c r="Q181" s="230">
        <v>0</v>
      </c>
      <c r="R181" s="230">
        <v>0</v>
      </c>
      <c r="S181" s="46" t="s">
        <v>585</v>
      </c>
      <c r="T181" s="41"/>
      <c r="U181" s="42"/>
    </row>
    <row r="182" spans="1:22" ht="9" hidden="1" customHeight="1">
      <c r="A182" s="329">
        <v>165</v>
      </c>
      <c r="B182" s="125" t="s">
        <v>1045</v>
      </c>
      <c r="C182" s="215" t="s">
        <v>1126</v>
      </c>
      <c r="D182" s="119" t="s">
        <v>1125</v>
      </c>
      <c r="E182" s="127">
        <v>1975</v>
      </c>
      <c r="F182" s="128" t="s">
        <v>89</v>
      </c>
      <c r="G182" s="128">
        <v>2</v>
      </c>
      <c r="H182" s="128">
        <v>3</v>
      </c>
      <c r="I182" s="129">
        <v>863.8</v>
      </c>
      <c r="J182" s="129">
        <v>777.4</v>
      </c>
      <c r="K182" s="47">
        <v>42</v>
      </c>
      <c r="L182" s="117">
        <f>'Приложение 2 КСП 2018-2019 гг'!G184</f>
        <v>1457874.78</v>
      </c>
      <c r="M182" s="230">
        <v>0</v>
      </c>
      <c r="N182" s="230">
        <v>0</v>
      </c>
      <c r="O182" s="230">
        <v>0</v>
      </c>
      <c r="P182" s="230">
        <f t="shared" si="8"/>
        <v>1457874.78</v>
      </c>
      <c r="Q182" s="230">
        <v>0</v>
      </c>
      <c r="R182" s="230">
        <v>0</v>
      </c>
      <c r="S182" s="46" t="s">
        <v>585</v>
      </c>
      <c r="T182" s="41"/>
      <c r="U182" s="42"/>
    </row>
    <row r="183" spans="1:22" ht="24.75" hidden="1" customHeight="1">
      <c r="A183" s="599" t="s">
        <v>228</v>
      </c>
      <c r="B183" s="599"/>
      <c r="C183" s="46"/>
      <c r="D183" s="227"/>
      <c r="E183" s="54" t="s">
        <v>387</v>
      </c>
      <c r="F183" s="54" t="s">
        <v>387</v>
      </c>
      <c r="G183" s="54" t="s">
        <v>387</v>
      </c>
      <c r="H183" s="54" t="s">
        <v>387</v>
      </c>
      <c r="I183" s="225">
        <f>SUM(I170:I182)</f>
        <v>37695.800000000003</v>
      </c>
      <c r="J183" s="225">
        <f t="shared" ref="J183:R183" si="9">SUM(J170:J182)</f>
        <v>33694.700000000004</v>
      </c>
      <c r="K183" s="47">
        <f t="shared" si="9"/>
        <v>1004</v>
      </c>
      <c r="L183" s="225">
        <f t="shared" si="9"/>
        <v>35004222.519999996</v>
      </c>
      <c r="M183" s="225">
        <f t="shared" si="9"/>
        <v>0</v>
      </c>
      <c r="N183" s="225">
        <f t="shared" si="9"/>
        <v>0</v>
      </c>
      <c r="O183" s="225">
        <f t="shared" si="9"/>
        <v>0</v>
      </c>
      <c r="P183" s="225">
        <f t="shared" si="9"/>
        <v>35004222.519999996</v>
      </c>
      <c r="Q183" s="225">
        <f t="shared" si="9"/>
        <v>0</v>
      </c>
      <c r="R183" s="225">
        <f t="shared" si="9"/>
        <v>0</v>
      </c>
      <c r="S183" s="225"/>
      <c r="T183" s="229"/>
      <c r="U183" s="42"/>
      <c r="V183" s="161"/>
    </row>
    <row r="184" spans="1:22" ht="9" hidden="1" customHeight="1">
      <c r="A184" s="502" t="s">
        <v>239</v>
      </c>
      <c r="B184" s="502"/>
      <c r="C184" s="502"/>
      <c r="D184" s="502"/>
      <c r="E184" s="502"/>
      <c r="F184" s="502"/>
      <c r="G184" s="502"/>
      <c r="H184" s="502"/>
      <c r="I184" s="502"/>
      <c r="J184" s="502"/>
      <c r="K184" s="502"/>
      <c r="L184" s="502"/>
      <c r="M184" s="502"/>
      <c r="N184" s="502"/>
      <c r="O184" s="502"/>
      <c r="P184" s="502"/>
      <c r="Q184" s="502"/>
      <c r="R184" s="502"/>
      <c r="S184" s="502"/>
      <c r="T184" s="162"/>
      <c r="U184" s="162"/>
      <c r="V184" s="161"/>
    </row>
    <row r="185" spans="1:22" ht="9" hidden="1" customHeight="1">
      <c r="A185" s="228">
        <v>166</v>
      </c>
      <c r="B185" s="179" t="s">
        <v>1008</v>
      </c>
      <c r="C185" s="216" t="s">
        <v>1126</v>
      </c>
      <c r="D185" s="119" t="s">
        <v>1125</v>
      </c>
      <c r="E185" s="181" t="s">
        <v>784</v>
      </c>
      <c r="F185" s="182" t="s">
        <v>87</v>
      </c>
      <c r="G185" s="183">
        <v>3</v>
      </c>
      <c r="H185" s="183">
        <v>3</v>
      </c>
      <c r="I185" s="184">
        <v>2216.6</v>
      </c>
      <c r="J185" s="184">
        <v>1523.7</v>
      </c>
      <c r="K185" s="183">
        <v>60</v>
      </c>
      <c r="L185" s="117">
        <f>'Приложение 2 КСП 2018-2019 гг'!G187</f>
        <v>2864957.36</v>
      </c>
      <c r="M185" s="230">
        <v>0</v>
      </c>
      <c r="N185" s="230">
        <v>0</v>
      </c>
      <c r="O185" s="230">
        <v>0</v>
      </c>
      <c r="P185" s="230">
        <f t="shared" ref="P185" si="10">L185</f>
        <v>2864957.36</v>
      </c>
      <c r="Q185" s="230">
        <v>0</v>
      </c>
      <c r="R185" s="230">
        <v>0</v>
      </c>
      <c r="S185" s="46" t="s">
        <v>585</v>
      </c>
      <c r="T185" s="41"/>
      <c r="U185" s="42"/>
      <c r="V185" s="161"/>
    </row>
    <row r="186" spans="1:22" ht="9" hidden="1" customHeight="1">
      <c r="A186" s="228">
        <v>167</v>
      </c>
      <c r="B186" s="179" t="s">
        <v>1010</v>
      </c>
      <c r="C186" s="216" t="s">
        <v>1126</v>
      </c>
      <c r="D186" s="119" t="s">
        <v>1125</v>
      </c>
      <c r="E186" s="181" t="s">
        <v>595</v>
      </c>
      <c r="F186" s="182" t="s">
        <v>87</v>
      </c>
      <c r="G186" s="183">
        <v>2</v>
      </c>
      <c r="H186" s="183">
        <v>3</v>
      </c>
      <c r="I186" s="184">
        <v>891.9</v>
      </c>
      <c r="J186" s="184">
        <v>848.3</v>
      </c>
      <c r="K186" s="183">
        <v>135</v>
      </c>
      <c r="L186" s="117">
        <f>'Приложение 2 КСП 2018-2019 гг'!G188</f>
        <v>2688793.16</v>
      </c>
      <c r="M186" s="230">
        <v>0</v>
      </c>
      <c r="N186" s="230">
        <v>0</v>
      </c>
      <c r="O186" s="230">
        <v>0</v>
      </c>
      <c r="P186" s="230">
        <f t="shared" ref="P186:P187" si="11">L186</f>
        <v>2688793.16</v>
      </c>
      <c r="Q186" s="230">
        <v>0</v>
      </c>
      <c r="R186" s="230">
        <v>0</v>
      </c>
      <c r="S186" s="46" t="s">
        <v>585</v>
      </c>
      <c r="T186" s="41"/>
      <c r="U186" s="42"/>
      <c r="V186" s="161"/>
    </row>
    <row r="187" spans="1:22" ht="9" hidden="1" customHeight="1">
      <c r="A187" s="228">
        <v>168</v>
      </c>
      <c r="B187" s="179" t="s">
        <v>1009</v>
      </c>
      <c r="C187" s="216" t="s">
        <v>1126</v>
      </c>
      <c r="D187" s="119" t="s">
        <v>1125</v>
      </c>
      <c r="E187" s="181" t="s">
        <v>614</v>
      </c>
      <c r="F187" s="182" t="s">
        <v>87</v>
      </c>
      <c r="G187" s="183">
        <v>5</v>
      </c>
      <c r="H187" s="183">
        <v>1</v>
      </c>
      <c r="I187" s="184">
        <v>3026.4</v>
      </c>
      <c r="J187" s="184">
        <v>2440.6</v>
      </c>
      <c r="K187" s="183">
        <v>85</v>
      </c>
      <c r="L187" s="117">
        <f>'Приложение 2 КСП 2018-2019 гг'!G189</f>
        <v>1837901.3</v>
      </c>
      <c r="M187" s="230">
        <v>0</v>
      </c>
      <c r="N187" s="230">
        <v>0</v>
      </c>
      <c r="O187" s="230">
        <v>0</v>
      </c>
      <c r="P187" s="230">
        <f t="shared" si="11"/>
        <v>1837901.3</v>
      </c>
      <c r="Q187" s="230">
        <v>0</v>
      </c>
      <c r="R187" s="230">
        <v>0</v>
      </c>
      <c r="S187" s="46" t="s">
        <v>585</v>
      </c>
      <c r="T187" s="41"/>
      <c r="U187" s="42"/>
      <c r="V187" s="161"/>
    </row>
    <row r="188" spans="1:22" ht="21.75" hidden="1" customHeight="1">
      <c r="A188" s="599" t="s">
        <v>422</v>
      </c>
      <c r="B188" s="599"/>
      <c r="C188" s="46"/>
      <c r="D188" s="227"/>
      <c r="E188" s="228" t="s">
        <v>387</v>
      </c>
      <c r="F188" s="228" t="s">
        <v>387</v>
      </c>
      <c r="G188" s="228" t="s">
        <v>387</v>
      </c>
      <c r="H188" s="228" t="s">
        <v>387</v>
      </c>
      <c r="I188" s="230">
        <f>SUM(I185:I187)</f>
        <v>6134.9</v>
      </c>
      <c r="J188" s="230">
        <f t="shared" ref="J188:R188" si="12">SUM(J185:J187)</f>
        <v>4812.6000000000004</v>
      </c>
      <c r="K188" s="45">
        <f t="shared" si="12"/>
        <v>280</v>
      </c>
      <c r="L188" s="230">
        <f t="shared" si="12"/>
        <v>7391651.8199999994</v>
      </c>
      <c r="M188" s="230">
        <f t="shared" si="12"/>
        <v>0</v>
      </c>
      <c r="N188" s="230">
        <f t="shared" si="12"/>
        <v>0</v>
      </c>
      <c r="O188" s="230">
        <f t="shared" si="12"/>
        <v>0</v>
      </c>
      <c r="P188" s="230">
        <f t="shared" si="12"/>
        <v>7391651.8199999994</v>
      </c>
      <c r="Q188" s="230">
        <f t="shared" si="12"/>
        <v>0</v>
      </c>
      <c r="R188" s="230">
        <f t="shared" si="12"/>
        <v>0</v>
      </c>
      <c r="S188" s="230"/>
      <c r="T188" s="41"/>
      <c r="U188" s="42"/>
      <c r="V188" s="161"/>
    </row>
    <row r="189" spans="1:22" ht="9" hidden="1" customHeight="1">
      <c r="A189" s="502" t="s">
        <v>248</v>
      </c>
      <c r="B189" s="502"/>
      <c r="C189" s="502"/>
      <c r="D189" s="502"/>
      <c r="E189" s="502"/>
      <c r="F189" s="502"/>
      <c r="G189" s="502"/>
      <c r="H189" s="502"/>
      <c r="I189" s="502"/>
      <c r="J189" s="502"/>
      <c r="K189" s="502"/>
      <c r="L189" s="502"/>
      <c r="M189" s="502"/>
      <c r="N189" s="502"/>
      <c r="O189" s="502"/>
      <c r="P189" s="502"/>
      <c r="Q189" s="502"/>
      <c r="R189" s="502"/>
      <c r="S189" s="502"/>
      <c r="T189" s="162"/>
      <c r="U189" s="162"/>
      <c r="V189" s="161"/>
    </row>
    <row r="190" spans="1:22" ht="9" hidden="1" customHeight="1">
      <c r="A190" s="228">
        <v>169</v>
      </c>
      <c r="B190" s="185" t="s">
        <v>785</v>
      </c>
      <c r="C190" s="217" t="s">
        <v>1126</v>
      </c>
      <c r="D190" s="119" t="s">
        <v>1125</v>
      </c>
      <c r="E190" s="186" t="s">
        <v>607</v>
      </c>
      <c r="F190" s="187" t="s">
        <v>87</v>
      </c>
      <c r="G190" s="188">
        <v>5</v>
      </c>
      <c r="H190" s="188">
        <v>4</v>
      </c>
      <c r="I190" s="189">
        <v>3471.8</v>
      </c>
      <c r="J190" s="189">
        <v>3227.4</v>
      </c>
      <c r="K190" s="187">
        <v>129</v>
      </c>
      <c r="L190" s="117">
        <f>'Приложение 2 КСП 2018-2019 гг'!G192</f>
        <v>4356453.3499999996</v>
      </c>
      <c r="M190" s="230">
        <v>0</v>
      </c>
      <c r="N190" s="230">
        <v>0</v>
      </c>
      <c r="O190" s="230">
        <v>0</v>
      </c>
      <c r="P190" s="230">
        <f t="shared" ref="P190:P191" si="13">L190</f>
        <v>4356453.3499999996</v>
      </c>
      <c r="Q190" s="230">
        <v>0</v>
      </c>
      <c r="R190" s="230">
        <v>0</v>
      </c>
      <c r="S190" s="46" t="s">
        <v>585</v>
      </c>
      <c r="T190" s="41"/>
      <c r="U190" s="42"/>
      <c r="V190" s="161"/>
    </row>
    <row r="191" spans="1:22" ht="9" hidden="1" customHeight="1">
      <c r="A191" s="228">
        <v>170</v>
      </c>
      <c r="B191" s="185" t="s">
        <v>786</v>
      </c>
      <c r="C191" s="217" t="s">
        <v>1126</v>
      </c>
      <c r="D191" s="119" t="s">
        <v>1125</v>
      </c>
      <c r="E191" s="186" t="s">
        <v>592</v>
      </c>
      <c r="F191" s="187" t="s">
        <v>87</v>
      </c>
      <c r="G191" s="188">
        <v>4</v>
      </c>
      <c r="H191" s="188">
        <v>3</v>
      </c>
      <c r="I191" s="189">
        <v>2121.9</v>
      </c>
      <c r="J191" s="189">
        <f>1934.5+41.4</f>
        <v>1975.9</v>
      </c>
      <c r="K191" s="188">
        <v>105</v>
      </c>
      <c r="L191" s="117">
        <f>'Приложение 2 КСП 2018-2019 гг'!G193</f>
        <v>3164194.67</v>
      </c>
      <c r="M191" s="230">
        <v>0</v>
      </c>
      <c r="N191" s="230">
        <v>0</v>
      </c>
      <c r="O191" s="230">
        <v>0</v>
      </c>
      <c r="P191" s="230">
        <f t="shared" si="13"/>
        <v>3164194.67</v>
      </c>
      <c r="Q191" s="230">
        <v>0</v>
      </c>
      <c r="R191" s="230">
        <v>0</v>
      </c>
      <c r="S191" s="46" t="s">
        <v>585</v>
      </c>
      <c r="T191" s="41"/>
      <c r="U191" s="42"/>
      <c r="V191" s="161"/>
    </row>
    <row r="192" spans="1:22" ht="9" hidden="1" customHeight="1">
      <c r="A192" s="339">
        <v>171</v>
      </c>
      <c r="B192" s="185" t="s">
        <v>787</v>
      </c>
      <c r="C192" s="217" t="s">
        <v>1126</v>
      </c>
      <c r="D192" s="119" t="s">
        <v>1125</v>
      </c>
      <c r="E192" s="186" t="s">
        <v>791</v>
      </c>
      <c r="F192" s="187" t="s">
        <v>249</v>
      </c>
      <c r="G192" s="188">
        <v>2</v>
      </c>
      <c r="H192" s="188">
        <v>1</v>
      </c>
      <c r="I192" s="189">
        <v>588.20000000000005</v>
      </c>
      <c r="J192" s="189">
        <v>530</v>
      </c>
      <c r="K192" s="188">
        <v>21</v>
      </c>
      <c r="L192" s="117">
        <f>'Приложение 2 КСП 2018-2019 гг'!G194</f>
        <v>1396442.97</v>
      </c>
      <c r="M192" s="230">
        <v>0</v>
      </c>
      <c r="N192" s="230">
        <v>0</v>
      </c>
      <c r="O192" s="230">
        <v>0</v>
      </c>
      <c r="P192" s="230">
        <f t="shared" ref="P192:P195" si="14">L192</f>
        <v>1396442.97</v>
      </c>
      <c r="Q192" s="230">
        <v>0</v>
      </c>
      <c r="R192" s="230">
        <v>0</v>
      </c>
      <c r="S192" s="46" t="s">
        <v>585</v>
      </c>
      <c r="T192" s="41"/>
      <c r="U192" s="42"/>
      <c r="V192" s="161"/>
    </row>
    <row r="193" spans="1:22" ht="9" hidden="1" customHeight="1">
      <c r="A193" s="339">
        <v>172</v>
      </c>
      <c r="B193" s="185" t="s">
        <v>788</v>
      </c>
      <c r="C193" s="217" t="s">
        <v>1126</v>
      </c>
      <c r="D193" s="119" t="s">
        <v>1125</v>
      </c>
      <c r="E193" s="186" t="s">
        <v>792</v>
      </c>
      <c r="F193" s="187" t="s">
        <v>249</v>
      </c>
      <c r="G193" s="188">
        <v>2</v>
      </c>
      <c r="H193" s="188">
        <v>2</v>
      </c>
      <c r="I193" s="189">
        <v>427.4</v>
      </c>
      <c r="J193" s="189">
        <v>383.2</v>
      </c>
      <c r="K193" s="188">
        <v>15</v>
      </c>
      <c r="L193" s="117">
        <f>'Приложение 2 КСП 2018-2019 гг'!G195</f>
        <v>1241529.67</v>
      </c>
      <c r="M193" s="230">
        <v>0</v>
      </c>
      <c r="N193" s="230">
        <v>0</v>
      </c>
      <c r="O193" s="230">
        <v>0</v>
      </c>
      <c r="P193" s="230">
        <f t="shared" si="14"/>
        <v>1241529.67</v>
      </c>
      <c r="Q193" s="230">
        <v>0</v>
      </c>
      <c r="R193" s="230">
        <v>0</v>
      </c>
      <c r="S193" s="46" t="s">
        <v>585</v>
      </c>
      <c r="T193" s="41"/>
      <c r="U193" s="42"/>
      <c r="V193" s="161"/>
    </row>
    <row r="194" spans="1:22" ht="9" hidden="1" customHeight="1">
      <c r="A194" s="339">
        <v>173</v>
      </c>
      <c r="B194" s="185" t="s">
        <v>789</v>
      </c>
      <c r="C194" s="217" t="s">
        <v>1126</v>
      </c>
      <c r="D194" s="119" t="s">
        <v>1125</v>
      </c>
      <c r="E194" s="186" t="s">
        <v>792</v>
      </c>
      <c r="F194" s="187" t="s">
        <v>249</v>
      </c>
      <c r="G194" s="188">
        <v>2</v>
      </c>
      <c r="H194" s="188">
        <v>2</v>
      </c>
      <c r="I194" s="189">
        <v>429.1</v>
      </c>
      <c r="J194" s="189">
        <v>384.2</v>
      </c>
      <c r="K194" s="188">
        <v>11</v>
      </c>
      <c r="L194" s="117">
        <f>'Приложение 2 КСП 2018-2019 гг'!G196</f>
        <v>1231285.1200000001</v>
      </c>
      <c r="M194" s="230">
        <v>0</v>
      </c>
      <c r="N194" s="230">
        <v>0</v>
      </c>
      <c r="O194" s="230">
        <v>0</v>
      </c>
      <c r="P194" s="230">
        <f t="shared" si="14"/>
        <v>1231285.1200000001</v>
      </c>
      <c r="Q194" s="230">
        <v>0</v>
      </c>
      <c r="R194" s="230">
        <v>0</v>
      </c>
      <c r="S194" s="46" t="s">
        <v>585</v>
      </c>
      <c r="T194" s="41"/>
      <c r="U194" s="42"/>
      <c r="V194" s="161"/>
    </row>
    <row r="195" spans="1:22" ht="9" hidden="1" customHeight="1">
      <c r="A195" s="339">
        <v>174</v>
      </c>
      <c r="B195" s="185" t="s">
        <v>790</v>
      </c>
      <c r="C195" s="217" t="s">
        <v>1126</v>
      </c>
      <c r="D195" s="119" t="s">
        <v>1125</v>
      </c>
      <c r="E195" s="186" t="s">
        <v>744</v>
      </c>
      <c r="F195" s="187" t="s">
        <v>87</v>
      </c>
      <c r="G195" s="188">
        <v>2</v>
      </c>
      <c r="H195" s="188">
        <v>2</v>
      </c>
      <c r="I195" s="189">
        <v>658.1</v>
      </c>
      <c r="J195" s="189">
        <v>633.5</v>
      </c>
      <c r="K195" s="188">
        <v>28</v>
      </c>
      <c r="L195" s="117">
        <f>'Приложение 2 КСП 2018-2019 гг'!G197</f>
        <v>2084871.41</v>
      </c>
      <c r="M195" s="230">
        <v>0</v>
      </c>
      <c r="N195" s="230">
        <v>0</v>
      </c>
      <c r="O195" s="230">
        <v>0</v>
      </c>
      <c r="P195" s="230">
        <f t="shared" si="14"/>
        <v>2084871.41</v>
      </c>
      <c r="Q195" s="230">
        <v>0</v>
      </c>
      <c r="R195" s="230">
        <v>0</v>
      </c>
      <c r="S195" s="46" t="s">
        <v>585</v>
      </c>
      <c r="T195" s="41"/>
      <c r="U195" s="42"/>
      <c r="V195" s="161"/>
    </row>
    <row r="196" spans="1:22" ht="9" hidden="1" customHeight="1">
      <c r="A196" s="339">
        <v>175</v>
      </c>
      <c r="B196" s="185" t="s">
        <v>797</v>
      </c>
      <c r="C196" s="217" t="s">
        <v>1126</v>
      </c>
      <c r="D196" s="119" t="s">
        <v>1125</v>
      </c>
      <c r="E196" s="186">
        <v>1951</v>
      </c>
      <c r="F196" s="187" t="s">
        <v>87</v>
      </c>
      <c r="G196" s="188">
        <v>2</v>
      </c>
      <c r="H196" s="188">
        <v>1</v>
      </c>
      <c r="I196" s="189">
        <v>578.4</v>
      </c>
      <c r="J196" s="189">
        <v>530.15</v>
      </c>
      <c r="K196" s="188">
        <v>15</v>
      </c>
      <c r="L196" s="117">
        <f>'Приложение 2 КСП 2018-2019 гг'!G198</f>
        <v>1714020</v>
      </c>
      <c r="M196" s="340">
        <v>0</v>
      </c>
      <c r="N196" s="340">
        <v>0</v>
      </c>
      <c r="O196" s="340">
        <v>0</v>
      </c>
      <c r="P196" s="340">
        <f>L196</f>
        <v>1714020</v>
      </c>
      <c r="Q196" s="340">
        <v>0</v>
      </c>
      <c r="R196" s="340">
        <v>0</v>
      </c>
      <c r="S196" s="46" t="s">
        <v>585</v>
      </c>
      <c r="T196" s="41"/>
      <c r="U196" s="42"/>
      <c r="V196" s="161"/>
    </row>
    <row r="197" spans="1:22" ht="23.25" hidden="1" customHeight="1">
      <c r="A197" s="599" t="s">
        <v>247</v>
      </c>
      <c r="B197" s="599"/>
      <c r="C197" s="46"/>
      <c r="D197" s="227"/>
      <c r="E197" s="228" t="s">
        <v>387</v>
      </c>
      <c r="F197" s="228" t="s">
        <v>387</v>
      </c>
      <c r="G197" s="228" t="s">
        <v>387</v>
      </c>
      <c r="H197" s="228" t="s">
        <v>387</v>
      </c>
      <c r="I197" s="230">
        <f>SUM(I190:I196)</f>
        <v>8274.9000000000015</v>
      </c>
      <c r="J197" s="340">
        <f t="shared" ref="J197:R197" si="15">SUM(J190:J196)</f>
        <v>7664.3499999999995</v>
      </c>
      <c r="K197" s="340">
        <f t="shared" si="15"/>
        <v>324</v>
      </c>
      <c r="L197" s="340">
        <f>SUM(L190:L196)</f>
        <v>15188797.190000001</v>
      </c>
      <c r="M197" s="340">
        <f t="shared" si="15"/>
        <v>0</v>
      </c>
      <c r="N197" s="340">
        <f t="shared" si="15"/>
        <v>0</v>
      </c>
      <c r="O197" s="340">
        <f t="shared" si="15"/>
        <v>0</v>
      </c>
      <c r="P197" s="340">
        <f>SUM(P190:P196)</f>
        <v>15188797.190000001</v>
      </c>
      <c r="Q197" s="340">
        <f t="shared" si="15"/>
        <v>0</v>
      </c>
      <c r="R197" s="340">
        <f t="shared" si="15"/>
        <v>0</v>
      </c>
      <c r="S197" s="230"/>
      <c r="T197" s="41"/>
      <c r="U197" s="42"/>
      <c r="V197" s="161"/>
    </row>
    <row r="198" spans="1:22" ht="9" hidden="1" customHeight="1">
      <c r="A198" s="504" t="s">
        <v>256</v>
      </c>
      <c r="B198" s="504"/>
      <c r="C198" s="504"/>
      <c r="D198" s="504"/>
      <c r="E198" s="504"/>
      <c r="F198" s="504"/>
      <c r="G198" s="504"/>
      <c r="H198" s="504"/>
      <c r="I198" s="504"/>
      <c r="J198" s="504"/>
      <c r="K198" s="504"/>
      <c r="L198" s="504"/>
      <c r="M198" s="504"/>
      <c r="N198" s="504"/>
      <c r="O198" s="504"/>
      <c r="P198" s="504"/>
      <c r="Q198" s="504"/>
      <c r="R198" s="504"/>
      <c r="S198" s="504"/>
      <c r="T198" s="190"/>
      <c r="U198" s="190"/>
      <c r="V198" s="161"/>
    </row>
    <row r="199" spans="1:22" ht="9" hidden="1" customHeight="1">
      <c r="A199" s="78">
        <v>176</v>
      </c>
      <c r="B199" s="227" t="s">
        <v>798</v>
      </c>
      <c r="C199" s="46" t="s">
        <v>1126</v>
      </c>
      <c r="D199" s="119" t="s">
        <v>1125</v>
      </c>
      <c r="E199" s="228" t="s">
        <v>612</v>
      </c>
      <c r="F199" s="228" t="s">
        <v>89</v>
      </c>
      <c r="G199" s="44">
        <v>5</v>
      </c>
      <c r="H199" s="44">
        <v>6</v>
      </c>
      <c r="I199" s="230">
        <v>5571.4</v>
      </c>
      <c r="J199" s="230">
        <v>4482.8999999999996</v>
      </c>
      <c r="K199" s="44">
        <v>96</v>
      </c>
      <c r="L199" s="117">
        <f>'Приложение 2 КСП 2018-2019 гг'!G201</f>
        <v>4375989.8600000003</v>
      </c>
      <c r="M199" s="230">
        <v>0</v>
      </c>
      <c r="N199" s="230">
        <v>0</v>
      </c>
      <c r="O199" s="230">
        <v>0</v>
      </c>
      <c r="P199" s="230">
        <f t="shared" ref="P199" si="16">L199</f>
        <v>4375989.8600000003</v>
      </c>
      <c r="Q199" s="230">
        <v>0</v>
      </c>
      <c r="R199" s="230">
        <v>0</v>
      </c>
      <c r="S199" s="46" t="s">
        <v>585</v>
      </c>
      <c r="T199" s="41"/>
      <c r="U199" s="42"/>
      <c r="V199" s="161"/>
    </row>
    <row r="200" spans="1:22" ht="9" hidden="1" customHeight="1">
      <c r="A200" s="78">
        <v>177</v>
      </c>
      <c r="B200" s="227" t="s">
        <v>799</v>
      </c>
      <c r="C200" s="46" t="s">
        <v>1126</v>
      </c>
      <c r="D200" s="119" t="s">
        <v>1125</v>
      </c>
      <c r="E200" s="228" t="s">
        <v>615</v>
      </c>
      <c r="F200" s="228" t="s">
        <v>87</v>
      </c>
      <c r="G200" s="44">
        <v>2</v>
      </c>
      <c r="H200" s="44">
        <v>3</v>
      </c>
      <c r="I200" s="230">
        <v>916</v>
      </c>
      <c r="J200" s="230">
        <v>776.5</v>
      </c>
      <c r="K200" s="228">
        <v>29</v>
      </c>
      <c r="L200" s="117">
        <f>'Приложение 2 КСП 2018-2019 гг'!G202</f>
        <v>2878636.19</v>
      </c>
      <c r="M200" s="230">
        <v>0</v>
      </c>
      <c r="N200" s="230">
        <v>0</v>
      </c>
      <c r="O200" s="230">
        <v>0</v>
      </c>
      <c r="P200" s="230">
        <f t="shared" ref="P200:P201" si="17">L200</f>
        <v>2878636.19</v>
      </c>
      <c r="Q200" s="230">
        <v>0</v>
      </c>
      <c r="R200" s="230">
        <v>0</v>
      </c>
      <c r="S200" s="46" t="s">
        <v>585</v>
      </c>
      <c r="T200" s="41"/>
      <c r="U200" s="42"/>
      <c r="V200" s="161"/>
    </row>
    <row r="201" spans="1:22" ht="9" hidden="1" customHeight="1">
      <c r="A201" s="78">
        <v>178</v>
      </c>
      <c r="B201" s="227" t="s">
        <v>800</v>
      </c>
      <c r="C201" s="46" t="s">
        <v>1126</v>
      </c>
      <c r="D201" s="119" t="s">
        <v>1125</v>
      </c>
      <c r="E201" s="228" t="s">
        <v>217</v>
      </c>
      <c r="F201" s="228" t="s">
        <v>87</v>
      </c>
      <c r="G201" s="44">
        <v>2</v>
      </c>
      <c r="H201" s="44">
        <v>1</v>
      </c>
      <c r="I201" s="230">
        <v>402.1</v>
      </c>
      <c r="J201" s="230">
        <v>381.3</v>
      </c>
      <c r="K201" s="44">
        <v>18</v>
      </c>
      <c r="L201" s="117">
        <f>'Приложение 2 КСП 2018-2019 гг'!G203</f>
        <v>1405439.8</v>
      </c>
      <c r="M201" s="230">
        <v>0</v>
      </c>
      <c r="N201" s="230">
        <v>0</v>
      </c>
      <c r="O201" s="230">
        <v>0</v>
      </c>
      <c r="P201" s="230">
        <f t="shared" si="17"/>
        <v>1405439.8</v>
      </c>
      <c r="Q201" s="230">
        <v>0</v>
      </c>
      <c r="R201" s="230">
        <v>0</v>
      </c>
      <c r="S201" s="46" t="s">
        <v>585</v>
      </c>
      <c r="T201" s="41"/>
      <c r="U201" s="42"/>
      <c r="V201" s="161"/>
    </row>
    <row r="202" spans="1:22" ht="24" hidden="1" customHeight="1">
      <c r="A202" s="606" t="s">
        <v>258</v>
      </c>
      <c r="B202" s="606"/>
      <c r="C202" s="86"/>
      <c r="D202" s="226"/>
      <c r="E202" s="228" t="s">
        <v>387</v>
      </c>
      <c r="F202" s="228" t="s">
        <v>387</v>
      </c>
      <c r="G202" s="228" t="s">
        <v>387</v>
      </c>
      <c r="H202" s="228" t="s">
        <v>387</v>
      </c>
      <c r="I202" s="230">
        <f>SUM(I199:I201)</f>
        <v>6889.5</v>
      </c>
      <c r="J202" s="230">
        <f t="shared" ref="J202:R202" si="18">SUM(J199:J201)</f>
        <v>5640.7</v>
      </c>
      <c r="K202" s="45">
        <f t="shared" si="18"/>
        <v>143</v>
      </c>
      <c r="L202" s="230">
        <f t="shared" si="18"/>
        <v>8660065.8500000015</v>
      </c>
      <c r="M202" s="230">
        <f t="shared" si="18"/>
        <v>0</v>
      </c>
      <c r="N202" s="230">
        <f t="shared" si="18"/>
        <v>0</v>
      </c>
      <c r="O202" s="230">
        <f t="shared" si="18"/>
        <v>0</v>
      </c>
      <c r="P202" s="230">
        <f t="shared" si="18"/>
        <v>8660065.8500000015</v>
      </c>
      <c r="Q202" s="230">
        <f t="shared" si="18"/>
        <v>0</v>
      </c>
      <c r="R202" s="230">
        <f t="shared" si="18"/>
        <v>0</v>
      </c>
      <c r="S202" s="230"/>
      <c r="T202" s="163"/>
      <c r="U202" s="164"/>
      <c r="V202" s="161"/>
    </row>
    <row r="203" spans="1:22" ht="9" hidden="1" customHeight="1">
      <c r="A203" s="502" t="s">
        <v>261</v>
      </c>
      <c r="B203" s="502"/>
      <c r="C203" s="502"/>
      <c r="D203" s="502"/>
      <c r="E203" s="502"/>
      <c r="F203" s="502"/>
      <c r="G203" s="502"/>
      <c r="H203" s="502"/>
      <c r="I203" s="502"/>
      <c r="J203" s="502"/>
      <c r="K203" s="502"/>
      <c r="L203" s="502"/>
      <c r="M203" s="502"/>
      <c r="N203" s="502"/>
      <c r="O203" s="502"/>
      <c r="P203" s="502"/>
      <c r="Q203" s="502"/>
      <c r="R203" s="502"/>
      <c r="S203" s="502"/>
      <c r="T203" s="162"/>
      <c r="U203" s="162"/>
      <c r="V203" s="161"/>
    </row>
    <row r="204" spans="1:22" ht="9" hidden="1" customHeight="1">
      <c r="A204" s="228">
        <v>179</v>
      </c>
      <c r="B204" s="227" t="s">
        <v>803</v>
      </c>
      <c r="C204" s="46" t="s">
        <v>1126</v>
      </c>
      <c r="D204" s="119" t="s">
        <v>1125</v>
      </c>
      <c r="E204" s="228" t="s">
        <v>217</v>
      </c>
      <c r="F204" s="228" t="s">
        <v>87</v>
      </c>
      <c r="G204" s="44">
        <v>2</v>
      </c>
      <c r="H204" s="44">
        <v>3</v>
      </c>
      <c r="I204" s="230">
        <v>971.3</v>
      </c>
      <c r="J204" s="230">
        <v>924.1</v>
      </c>
      <c r="K204" s="44">
        <v>7</v>
      </c>
      <c r="L204" s="117">
        <f>'Приложение 2 КСП 2018-2019 гг'!G206</f>
        <v>2803560.4</v>
      </c>
      <c r="M204" s="230">
        <v>0</v>
      </c>
      <c r="N204" s="230">
        <v>0</v>
      </c>
      <c r="O204" s="230">
        <v>0</v>
      </c>
      <c r="P204" s="230">
        <f t="shared" ref="P204" si="19">L204</f>
        <v>2803560.4</v>
      </c>
      <c r="Q204" s="230">
        <v>0</v>
      </c>
      <c r="R204" s="230">
        <v>0</v>
      </c>
      <c r="S204" s="46" t="s">
        <v>585</v>
      </c>
      <c r="T204" s="41"/>
      <c r="U204" s="42"/>
      <c r="V204" s="161"/>
    </row>
    <row r="205" spans="1:22" ht="9" hidden="1" customHeight="1">
      <c r="A205" s="228">
        <v>180</v>
      </c>
      <c r="B205" s="227" t="s">
        <v>804</v>
      </c>
      <c r="C205" s="46" t="s">
        <v>1126</v>
      </c>
      <c r="D205" s="119" t="s">
        <v>1125</v>
      </c>
      <c r="E205" s="228" t="s">
        <v>105</v>
      </c>
      <c r="F205" s="228" t="s">
        <v>87</v>
      </c>
      <c r="G205" s="44">
        <v>2</v>
      </c>
      <c r="H205" s="44">
        <v>3</v>
      </c>
      <c r="I205" s="230">
        <v>731.9</v>
      </c>
      <c r="J205" s="230">
        <v>726.8</v>
      </c>
      <c r="K205" s="228">
        <v>35</v>
      </c>
      <c r="L205" s="117">
        <f>'Приложение 2 КСП 2018-2019 гг'!G207</f>
        <v>2098958.1</v>
      </c>
      <c r="M205" s="230">
        <v>0</v>
      </c>
      <c r="N205" s="230">
        <v>0</v>
      </c>
      <c r="O205" s="230">
        <v>0</v>
      </c>
      <c r="P205" s="230">
        <f t="shared" ref="P205:P207" si="20">L205</f>
        <v>2098958.1</v>
      </c>
      <c r="Q205" s="230">
        <v>0</v>
      </c>
      <c r="R205" s="230">
        <v>0</v>
      </c>
      <c r="S205" s="46" t="s">
        <v>585</v>
      </c>
      <c r="T205" s="41"/>
      <c r="U205" s="42"/>
      <c r="V205" s="161"/>
    </row>
    <row r="206" spans="1:22" ht="9" hidden="1" customHeight="1">
      <c r="A206" s="329">
        <v>181</v>
      </c>
      <c r="B206" s="227" t="s">
        <v>805</v>
      </c>
      <c r="C206" s="46" t="s">
        <v>1126</v>
      </c>
      <c r="D206" s="119" t="s">
        <v>1125</v>
      </c>
      <c r="E206" s="228" t="s">
        <v>608</v>
      </c>
      <c r="F206" s="228" t="s">
        <v>87</v>
      </c>
      <c r="G206" s="44">
        <v>2</v>
      </c>
      <c r="H206" s="44">
        <v>1</v>
      </c>
      <c r="I206" s="230">
        <v>465.51</v>
      </c>
      <c r="J206" s="230">
        <v>369.21</v>
      </c>
      <c r="K206" s="44">
        <v>8</v>
      </c>
      <c r="L206" s="117">
        <f>'Приложение 2 КСП 2018-2019 гг'!G208</f>
        <v>1342815.06</v>
      </c>
      <c r="M206" s="230">
        <v>0</v>
      </c>
      <c r="N206" s="230">
        <v>0</v>
      </c>
      <c r="O206" s="230">
        <v>0</v>
      </c>
      <c r="P206" s="230">
        <f t="shared" si="20"/>
        <v>1342815.06</v>
      </c>
      <c r="Q206" s="230">
        <v>0</v>
      </c>
      <c r="R206" s="230">
        <v>0</v>
      </c>
      <c r="S206" s="46" t="s">
        <v>585</v>
      </c>
      <c r="T206" s="41"/>
      <c r="U206" s="42"/>
      <c r="V206" s="161"/>
    </row>
    <row r="207" spans="1:22" ht="9" hidden="1" customHeight="1">
      <c r="A207" s="329">
        <v>182</v>
      </c>
      <c r="B207" s="227" t="s">
        <v>806</v>
      </c>
      <c r="C207" s="46" t="s">
        <v>1126</v>
      </c>
      <c r="D207" s="119" t="s">
        <v>1125</v>
      </c>
      <c r="E207" s="228" t="s">
        <v>602</v>
      </c>
      <c r="F207" s="228" t="s">
        <v>87</v>
      </c>
      <c r="G207" s="44">
        <v>2</v>
      </c>
      <c r="H207" s="44">
        <v>1</v>
      </c>
      <c r="I207" s="230">
        <v>314</v>
      </c>
      <c r="J207" s="230">
        <v>287.5</v>
      </c>
      <c r="K207" s="44">
        <v>184</v>
      </c>
      <c r="L207" s="117">
        <f>'Приложение 2 КСП 2018-2019 гг'!G209</f>
        <v>817294.53</v>
      </c>
      <c r="M207" s="230">
        <v>0</v>
      </c>
      <c r="N207" s="230">
        <v>0</v>
      </c>
      <c r="O207" s="230">
        <v>0</v>
      </c>
      <c r="P207" s="230">
        <f t="shared" si="20"/>
        <v>817294.53</v>
      </c>
      <c r="Q207" s="230">
        <v>0</v>
      </c>
      <c r="R207" s="230">
        <v>0</v>
      </c>
      <c r="S207" s="46" t="s">
        <v>585</v>
      </c>
      <c r="T207" s="41"/>
      <c r="U207" s="42"/>
      <c r="V207" s="161"/>
    </row>
    <row r="208" spans="1:22" ht="34.5" hidden="1" customHeight="1">
      <c r="A208" s="599" t="s">
        <v>437</v>
      </c>
      <c r="B208" s="599"/>
      <c r="C208" s="46"/>
      <c r="D208" s="227"/>
      <c r="E208" s="228" t="s">
        <v>387</v>
      </c>
      <c r="F208" s="228" t="s">
        <v>387</v>
      </c>
      <c r="G208" s="228" t="s">
        <v>387</v>
      </c>
      <c r="H208" s="228" t="s">
        <v>387</v>
      </c>
      <c r="I208" s="230">
        <f>SUM(I204:I207)</f>
        <v>2482.71</v>
      </c>
      <c r="J208" s="230">
        <f t="shared" ref="J208:R208" si="21">SUM(J204:J207)</f>
        <v>2307.61</v>
      </c>
      <c r="K208" s="45">
        <f t="shared" si="21"/>
        <v>234</v>
      </c>
      <c r="L208" s="230">
        <f t="shared" si="21"/>
        <v>7062628.0900000008</v>
      </c>
      <c r="M208" s="230">
        <f t="shared" si="21"/>
        <v>0</v>
      </c>
      <c r="N208" s="230">
        <f t="shared" si="21"/>
        <v>0</v>
      </c>
      <c r="O208" s="230">
        <f t="shared" si="21"/>
        <v>0</v>
      </c>
      <c r="P208" s="230">
        <f t="shared" si="21"/>
        <v>7062628.0900000008</v>
      </c>
      <c r="Q208" s="230">
        <f t="shared" si="21"/>
        <v>0</v>
      </c>
      <c r="R208" s="230">
        <f t="shared" si="21"/>
        <v>0</v>
      </c>
      <c r="S208" s="230"/>
      <c r="T208" s="41"/>
      <c r="U208" s="42"/>
      <c r="V208" s="161"/>
    </row>
    <row r="209" spans="1:22" ht="9" hidden="1" customHeight="1">
      <c r="A209" s="502" t="s">
        <v>391</v>
      </c>
      <c r="B209" s="502"/>
      <c r="C209" s="502"/>
      <c r="D209" s="502"/>
      <c r="E209" s="502"/>
      <c r="F209" s="502"/>
      <c r="G209" s="502"/>
      <c r="H209" s="502"/>
      <c r="I209" s="502"/>
      <c r="J209" s="502"/>
      <c r="K209" s="502"/>
      <c r="L209" s="502"/>
      <c r="M209" s="502"/>
      <c r="N209" s="502"/>
      <c r="O209" s="502"/>
      <c r="P209" s="502"/>
      <c r="Q209" s="502"/>
      <c r="R209" s="502"/>
      <c r="S209" s="502"/>
      <c r="T209" s="162"/>
      <c r="U209" s="162"/>
      <c r="V209" s="161"/>
    </row>
    <row r="210" spans="1:22" ht="9" hidden="1" customHeight="1">
      <c r="A210" s="228">
        <v>183</v>
      </c>
      <c r="B210" s="227" t="s">
        <v>807</v>
      </c>
      <c r="C210" s="46" t="s">
        <v>1126</v>
      </c>
      <c r="D210" s="119" t="s">
        <v>1125</v>
      </c>
      <c r="E210" s="228" t="s">
        <v>601</v>
      </c>
      <c r="F210" s="228" t="s">
        <v>87</v>
      </c>
      <c r="G210" s="44">
        <v>5</v>
      </c>
      <c r="H210" s="44">
        <v>1</v>
      </c>
      <c r="I210" s="230">
        <v>2159.59</v>
      </c>
      <c r="J210" s="230">
        <v>1055</v>
      </c>
      <c r="K210" s="228">
        <v>46</v>
      </c>
      <c r="L210" s="117">
        <f>'Приложение 2 КСП 2018-2019 гг'!G212</f>
        <v>1408209.95</v>
      </c>
      <c r="M210" s="230">
        <v>0</v>
      </c>
      <c r="N210" s="230">
        <v>0</v>
      </c>
      <c r="O210" s="230">
        <v>0</v>
      </c>
      <c r="P210" s="230">
        <f t="shared" ref="P210" si="22">L210</f>
        <v>1408209.95</v>
      </c>
      <c r="Q210" s="230">
        <v>0</v>
      </c>
      <c r="R210" s="230">
        <v>0</v>
      </c>
      <c r="S210" s="46" t="s">
        <v>585</v>
      </c>
      <c r="T210" s="41"/>
      <c r="U210" s="42"/>
      <c r="V210" s="161"/>
    </row>
    <row r="211" spans="1:22" ht="9" hidden="1" customHeight="1">
      <c r="A211" s="228">
        <v>184</v>
      </c>
      <c r="B211" s="227" t="s">
        <v>808</v>
      </c>
      <c r="C211" s="46" t="s">
        <v>1126</v>
      </c>
      <c r="D211" s="119" t="s">
        <v>1125</v>
      </c>
      <c r="E211" s="228" t="s">
        <v>822</v>
      </c>
      <c r="F211" s="228" t="s">
        <v>89</v>
      </c>
      <c r="G211" s="44">
        <v>3</v>
      </c>
      <c r="H211" s="44">
        <v>3</v>
      </c>
      <c r="I211" s="230">
        <v>1058.2</v>
      </c>
      <c r="J211" s="230">
        <v>961.6</v>
      </c>
      <c r="K211" s="44">
        <v>37</v>
      </c>
      <c r="L211" s="117">
        <f>'Приложение 2 КСП 2018-2019 гг'!G213</f>
        <v>1851215.88</v>
      </c>
      <c r="M211" s="230">
        <v>0</v>
      </c>
      <c r="N211" s="230">
        <v>0</v>
      </c>
      <c r="O211" s="230">
        <v>0</v>
      </c>
      <c r="P211" s="230">
        <f t="shared" ref="P211:P224" si="23">L211</f>
        <v>1851215.88</v>
      </c>
      <c r="Q211" s="230">
        <v>0</v>
      </c>
      <c r="R211" s="230">
        <v>0</v>
      </c>
      <c r="S211" s="46" t="s">
        <v>585</v>
      </c>
      <c r="T211" s="41"/>
      <c r="U211" s="42"/>
      <c r="V211" s="161"/>
    </row>
    <row r="212" spans="1:22" ht="9" hidden="1" customHeight="1">
      <c r="A212" s="339">
        <v>185</v>
      </c>
      <c r="B212" s="227" t="s">
        <v>809</v>
      </c>
      <c r="C212" s="46" t="s">
        <v>1126</v>
      </c>
      <c r="D212" s="119" t="s">
        <v>1125</v>
      </c>
      <c r="E212" s="228" t="s">
        <v>610</v>
      </c>
      <c r="F212" s="228" t="s">
        <v>87</v>
      </c>
      <c r="G212" s="44">
        <v>4</v>
      </c>
      <c r="H212" s="44">
        <v>1</v>
      </c>
      <c r="I212" s="230">
        <v>618.29999999999995</v>
      </c>
      <c r="J212" s="230">
        <v>571.1</v>
      </c>
      <c r="K212" s="44">
        <v>32</v>
      </c>
      <c r="L212" s="117">
        <f>'Приложение 2 КСП 2018-2019 гг'!G214</f>
        <v>1076977.31</v>
      </c>
      <c r="M212" s="230">
        <v>0</v>
      </c>
      <c r="N212" s="230">
        <v>0</v>
      </c>
      <c r="O212" s="230">
        <v>0</v>
      </c>
      <c r="P212" s="230">
        <f t="shared" si="23"/>
        <v>1076977.31</v>
      </c>
      <c r="Q212" s="230">
        <v>0</v>
      </c>
      <c r="R212" s="230">
        <v>0</v>
      </c>
      <c r="S212" s="46" t="s">
        <v>585</v>
      </c>
      <c r="T212" s="41"/>
      <c r="U212" s="42"/>
      <c r="V212" s="161"/>
    </row>
    <row r="213" spans="1:22" ht="9" hidden="1" customHeight="1">
      <c r="A213" s="339">
        <v>186</v>
      </c>
      <c r="B213" s="227" t="s">
        <v>810</v>
      </c>
      <c r="C213" s="46" t="s">
        <v>1126</v>
      </c>
      <c r="D213" s="119" t="s">
        <v>1125</v>
      </c>
      <c r="E213" s="228" t="s">
        <v>588</v>
      </c>
      <c r="F213" s="228" t="s">
        <v>87</v>
      </c>
      <c r="G213" s="44">
        <v>4</v>
      </c>
      <c r="H213" s="44">
        <v>1</v>
      </c>
      <c r="I213" s="230">
        <v>940.8</v>
      </c>
      <c r="J213" s="230">
        <v>844.6</v>
      </c>
      <c r="K213" s="44">
        <v>40</v>
      </c>
      <c r="L213" s="117">
        <f>'Приложение 2 КСП 2018-2019 гг'!G215</f>
        <v>1280387.31</v>
      </c>
      <c r="M213" s="230">
        <v>0</v>
      </c>
      <c r="N213" s="230">
        <v>0</v>
      </c>
      <c r="O213" s="230">
        <v>0</v>
      </c>
      <c r="P213" s="230">
        <f t="shared" si="23"/>
        <v>1280387.31</v>
      </c>
      <c r="Q213" s="230">
        <v>0</v>
      </c>
      <c r="R213" s="230">
        <v>0</v>
      </c>
      <c r="S213" s="46" t="s">
        <v>585</v>
      </c>
      <c r="T213" s="41"/>
      <c r="U213" s="42"/>
      <c r="V213" s="161"/>
    </row>
    <row r="214" spans="1:22" ht="9" hidden="1" customHeight="1">
      <c r="A214" s="339">
        <v>187</v>
      </c>
      <c r="B214" s="227" t="s">
        <v>811</v>
      </c>
      <c r="C214" s="46" t="s">
        <v>1126</v>
      </c>
      <c r="D214" s="119" t="s">
        <v>1125</v>
      </c>
      <c r="E214" s="228" t="s">
        <v>609</v>
      </c>
      <c r="F214" s="228" t="s">
        <v>89</v>
      </c>
      <c r="G214" s="44">
        <v>2</v>
      </c>
      <c r="H214" s="44">
        <v>2</v>
      </c>
      <c r="I214" s="230">
        <v>1163.2</v>
      </c>
      <c r="J214" s="230">
        <v>638.20000000000005</v>
      </c>
      <c r="K214" s="44">
        <v>32</v>
      </c>
      <c r="L214" s="117">
        <f>'Приложение 2 КСП 2018-2019 гг'!G216</f>
        <v>1430703.04</v>
      </c>
      <c r="M214" s="230">
        <v>0</v>
      </c>
      <c r="N214" s="230">
        <v>0</v>
      </c>
      <c r="O214" s="230">
        <v>0</v>
      </c>
      <c r="P214" s="230">
        <f t="shared" si="23"/>
        <v>1430703.04</v>
      </c>
      <c r="Q214" s="230">
        <v>0</v>
      </c>
      <c r="R214" s="230">
        <v>0</v>
      </c>
      <c r="S214" s="46" t="s">
        <v>585</v>
      </c>
      <c r="T214" s="41"/>
      <c r="U214" s="42"/>
      <c r="V214" s="161"/>
    </row>
    <row r="215" spans="1:22" ht="9" hidden="1" customHeight="1">
      <c r="A215" s="339">
        <v>188</v>
      </c>
      <c r="B215" s="227" t="s">
        <v>812</v>
      </c>
      <c r="C215" s="46" t="s">
        <v>1126</v>
      </c>
      <c r="D215" s="119" t="s">
        <v>1125</v>
      </c>
      <c r="E215" s="228" t="s">
        <v>597</v>
      </c>
      <c r="F215" s="228" t="s">
        <v>87</v>
      </c>
      <c r="G215" s="44">
        <v>5</v>
      </c>
      <c r="H215" s="44">
        <v>4</v>
      </c>
      <c r="I215" s="230">
        <v>4349.5</v>
      </c>
      <c r="J215" s="230">
        <v>3181.15</v>
      </c>
      <c r="K215" s="44">
        <v>156</v>
      </c>
      <c r="L215" s="117">
        <f>'Приложение 2 КСП 2018-2019 гг'!G217</f>
        <v>3892466.41</v>
      </c>
      <c r="M215" s="230">
        <v>0</v>
      </c>
      <c r="N215" s="230">
        <v>0</v>
      </c>
      <c r="O215" s="230">
        <v>0</v>
      </c>
      <c r="P215" s="230">
        <f t="shared" si="23"/>
        <v>3892466.41</v>
      </c>
      <c r="Q215" s="230">
        <v>0</v>
      </c>
      <c r="R215" s="230">
        <v>0</v>
      </c>
      <c r="S215" s="46" t="s">
        <v>585</v>
      </c>
      <c r="T215" s="41"/>
      <c r="U215" s="42"/>
      <c r="V215" s="161"/>
    </row>
    <row r="216" spans="1:22" ht="9" hidden="1" customHeight="1">
      <c r="A216" s="339">
        <v>189</v>
      </c>
      <c r="B216" s="227" t="s">
        <v>813</v>
      </c>
      <c r="C216" s="46" t="s">
        <v>1126</v>
      </c>
      <c r="D216" s="119" t="s">
        <v>1125</v>
      </c>
      <c r="E216" s="228" t="s">
        <v>603</v>
      </c>
      <c r="F216" s="228" t="s">
        <v>87</v>
      </c>
      <c r="G216" s="44">
        <v>3</v>
      </c>
      <c r="H216" s="44">
        <v>2</v>
      </c>
      <c r="I216" s="230">
        <v>1235.8699999999999</v>
      </c>
      <c r="J216" s="230">
        <v>1127.8699999999999</v>
      </c>
      <c r="K216" s="228">
        <v>66</v>
      </c>
      <c r="L216" s="117">
        <f>'Приложение 2 КСП 2018-2019 гг'!G218</f>
        <v>1994185.8</v>
      </c>
      <c r="M216" s="230">
        <v>0</v>
      </c>
      <c r="N216" s="230">
        <v>0</v>
      </c>
      <c r="O216" s="230">
        <v>0</v>
      </c>
      <c r="P216" s="230">
        <f t="shared" si="23"/>
        <v>1994185.8</v>
      </c>
      <c r="Q216" s="230">
        <v>0</v>
      </c>
      <c r="R216" s="230">
        <v>0</v>
      </c>
      <c r="S216" s="46" t="s">
        <v>585</v>
      </c>
      <c r="T216" s="41"/>
      <c r="U216" s="42"/>
      <c r="V216" s="161"/>
    </row>
    <row r="217" spans="1:22" ht="9" hidden="1" customHeight="1">
      <c r="A217" s="339">
        <v>190</v>
      </c>
      <c r="B217" s="227" t="s">
        <v>814</v>
      </c>
      <c r="C217" s="46" t="s">
        <v>1126</v>
      </c>
      <c r="D217" s="119" t="s">
        <v>1125</v>
      </c>
      <c r="E217" s="228" t="s">
        <v>603</v>
      </c>
      <c r="F217" s="228" t="s">
        <v>87</v>
      </c>
      <c r="G217" s="44">
        <v>3</v>
      </c>
      <c r="H217" s="44">
        <v>2</v>
      </c>
      <c r="I217" s="230">
        <v>1221.9000000000001</v>
      </c>
      <c r="J217" s="230">
        <v>1113.9000000000001</v>
      </c>
      <c r="K217" s="44">
        <v>56</v>
      </c>
      <c r="L217" s="117">
        <f>'Приложение 2 КСП 2018-2019 гг'!G219</f>
        <v>2024046.8</v>
      </c>
      <c r="M217" s="230">
        <v>0</v>
      </c>
      <c r="N217" s="230">
        <v>0</v>
      </c>
      <c r="O217" s="230">
        <v>0</v>
      </c>
      <c r="P217" s="230">
        <f t="shared" si="23"/>
        <v>2024046.8</v>
      </c>
      <c r="Q217" s="230">
        <v>0</v>
      </c>
      <c r="R217" s="230">
        <v>0</v>
      </c>
      <c r="S217" s="46" t="s">
        <v>585</v>
      </c>
      <c r="T217" s="41"/>
      <c r="U217" s="42"/>
      <c r="V217" s="161"/>
    </row>
    <row r="218" spans="1:22" ht="9" hidden="1" customHeight="1">
      <c r="A218" s="339">
        <v>191</v>
      </c>
      <c r="B218" s="227" t="s">
        <v>815</v>
      </c>
      <c r="C218" s="46" t="s">
        <v>1126</v>
      </c>
      <c r="D218" s="119" t="s">
        <v>1125</v>
      </c>
      <c r="E218" s="228" t="s">
        <v>601</v>
      </c>
      <c r="F218" s="228" t="s">
        <v>89</v>
      </c>
      <c r="G218" s="44">
        <v>2</v>
      </c>
      <c r="H218" s="44">
        <v>3</v>
      </c>
      <c r="I218" s="230">
        <v>1158.7</v>
      </c>
      <c r="J218" s="230">
        <v>1076.7</v>
      </c>
      <c r="K218" s="228">
        <v>52</v>
      </c>
      <c r="L218" s="117">
        <f>'Приложение 2 КСП 2018-2019 гг'!G220</f>
        <v>1593150.21</v>
      </c>
      <c r="M218" s="230">
        <v>0</v>
      </c>
      <c r="N218" s="230">
        <v>0</v>
      </c>
      <c r="O218" s="230">
        <v>0</v>
      </c>
      <c r="P218" s="230">
        <f t="shared" si="23"/>
        <v>1593150.21</v>
      </c>
      <c r="Q218" s="230">
        <v>0</v>
      </c>
      <c r="R218" s="230">
        <v>0</v>
      </c>
      <c r="S218" s="46" t="s">
        <v>585</v>
      </c>
      <c r="T218" s="41"/>
      <c r="U218" s="42"/>
      <c r="V218" s="161"/>
    </row>
    <row r="219" spans="1:22" ht="9" hidden="1" customHeight="1">
      <c r="A219" s="339">
        <v>192</v>
      </c>
      <c r="B219" s="227" t="s">
        <v>816</v>
      </c>
      <c r="C219" s="46" t="s">
        <v>1126</v>
      </c>
      <c r="D219" s="119" t="s">
        <v>1125</v>
      </c>
      <c r="E219" s="228" t="s">
        <v>0</v>
      </c>
      <c r="F219" s="228" t="s">
        <v>87</v>
      </c>
      <c r="G219" s="44">
        <v>2</v>
      </c>
      <c r="H219" s="44">
        <v>1</v>
      </c>
      <c r="I219" s="230">
        <v>326</v>
      </c>
      <c r="J219" s="230">
        <v>255</v>
      </c>
      <c r="K219" s="228">
        <v>18</v>
      </c>
      <c r="L219" s="117">
        <f>'Приложение 2 КСП 2018-2019 гг'!G221</f>
        <v>1004210.95</v>
      </c>
      <c r="M219" s="230">
        <v>0</v>
      </c>
      <c r="N219" s="230">
        <v>0</v>
      </c>
      <c r="O219" s="230">
        <v>0</v>
      </c>
      <c r="P219" s="230">
        <f t="shared" si="23"/>
        <v>1004210.95</v>
      </c>
      <c r="Q219" s="230">
        <v>0</v>
      </c>
      <c r="R219" s="230">
        <v>0</v>
      </c>
      <c r="S219" s="46" t="s">
        <v>585</v>
      </c>
      <c r="T219" s="41"/>
      <c r="U219" s="42"/>
      <c r="V219" s="161"/>
    </row>
    <row r="220" spans="1:22" ht="9" hidden="1" customHeight="1">
      <c r="A220" s="339">
        <v>193</v>
      </c>
      <c r="B220" s="227" t="s">
        <v>817</v>
      </c>
      <c r="C220" s="46" t="s">
        <v>1126</v>
      </c>
      <c r="D220" s="119" t="s">
        <v>1125</v>
      </c>
      <c r="E220" s="228" t="s">
        <v>611</v>
      </c>
      <c r="F220" s="228" t="s">
        <v>87</v>
      </c>
      <c r="G220" s="44">
        <v>2</v>
      </c>
      <c r="H220" s="44">
        <v>3</v>
      </c>
      <c r="I220" s="230">
        <v>1452.7</v>
      </c>
      <c r="J220" s="230">
        <v>904.2</v>
      </c>
      <c r="K220" s="44">
        <v>56</v>
      </c>
      <c r="L220" s="117">
        <f>'Приложение 2 КСП 2018-2019 гг'!G222</f>
        <v>1775770.25</v>
      </c>
      <c r="M220" s="230">
        <v>0</v>
      </c>
      <c r="N220" s="230">
        <v>0</v>
      </c>
      <c r="O220" s="230">
        <v>0</v>
      </c>
      <c r="P220" s="230">
        <f t="shared" si="23"/>
        <v>1775770.25</v>
      </c>
      <c r="Q220" s="230">
        <v>0</v>
      </c>
      <c r="R220" s="230">
        <v>0</v>
      </c>
      <c r="S220" s="46" t="s">
        <v>585</v>
      </c>
      <c r="T220" s="41"/>
      <c r="U220" s="42"/>
      <c r="V220" s="161"/>
    </row>
    <row r="221" spans="1:22" ht="9" hidden="1" customHeight="1">
      <c r="A221" s="339">
        <v>194</v>
      </c>
      <c r="B221" s="227" t="s">
        <v>818</v>
      </c>
      <c r="C221" s="46" t="s">
        <v>1126</v>
      </c>
      <c r="D221" s="119" t="s">
        <v>1125</v>
      </c>
      <c r="E221" s="228" t="s">
        <v>597</v>
      </c>
      <c r="F221" s="228" t="s">
        <v>87</v>
      </c>
      <c r="G221" s="44">
        <v>2</v>
      </c>
      <c r="H221" s="44">
        <v>1</v>
      </c>
      <c r="I221" s="230">
        <v>637.9</v>
      </c>
      <c r="J221" s="230">
        <v>375.9</v>
      </c>
      <c r="K221" s="228">
        <v>22</v>
      </c>
      <c r="L221" s="117">
        <f>'Приложение 2 КСП 2018-2019 гг'!G223</f>
        <v>729458.31</v>
      </c>
      <c r="M221" s="230">
        <v>0</v>
      </c>
      <c r="N221" s="230">
        <v>0</v>
      </c>
      <c r="O221" s="230">
        <v>0</v>
      </c>
      <c r="P221" s="230">
        <f t="shared" si="23"/>
        <v>729458.31</v>
      </c>
      <c r="Q221" s="230">
        <v>0</v>
      </c>
      <c r="R221" s="230">
        <v>0</v>
      </c>
      <c r="S221" s="46" t="s">
        <v>585</v>
      </c>
      <c r="T221" s="41"/>
      <c r="U221" s="42"/>
      <c r="V221" s="161"/>
    </row>
    <row r="222" spans="1:22" ht="9" hidden="1" customHeight="1">
      <c r="A222" s="339">
        <v>195</v>
      </c>
      <c r="B222" s="227" t="s">
        <v>819</v>
      </c>
      <c r="C222" s="46" t="s">
        <v>1126</v>
      </c>
      <c r="D222" s="119" t="s">
        <v>1125</v>
      </c>
      <c r="E222" s="228" t="s">
        <v>612</v>
      </c>
      <c r="F222" s="228" t="s">
        <v>87</v>
      </c>
      <c r="G222" s="44">
        <v>2</v>
      </c>
      <c r="H222" s="44">
        <v>3</v>
      </c>
      <c r="I222" s="230">
        <v>944</v>
      </c>
      <c r="J222" s="230">
        <v>884</v>
      </c>
      <c r="K222" s="44">
        <v>47</v>
      </c>
      <c r="L222" s="117">
        <f>'Приложение 2 КСП 2018-2019 гг'!G224</f>
        <v>3584447.46</v>
      </c>
      <c r="M222" s="230">
        <v>0</v>
      </c>
      <c r="N222" s="230">
        <v>0</v>
      </c>
      <c r="O222" s="230">
        <v>0</v>
      </c>
      <c r="P222" s="230">
        <f t="shared" si="23"/>
        <v>3584447.46</v>
      </c>
      <c r="Q222" s="230">
        <v>0</v>
      </c>
      <c r="R222" s="230">
        <v>0</v>
      </c>
      <c r="S222" s="46" t="s">
        <v>585</v>
      </c>
      <c r="T222" s="41"/>
      <c r="U222" s="42"/>
      <c r="V222" s="161"/>
    </row>
    <row r="223" spans="1:22" ht="9" hidden="1" customHeight="1">
      <c r="A223" s="339">
        <v>196</v>
      </c>
      <c r="B223" s="227" t="s">
        <v>820</v>
      </c>
      <c r="C223" s="46" t="s">
        <v>1126</v>
      </c>
      <c r="D223" s="119" t="s">
        <v>1125</v>
      </c>
      <c r="E223" s="228" t="s">
        <v>744</v>
      </c>
      <c r="F223" s="228" t="s">
        <v>87</v>
      </c>
      <c r="G223" s="44">
        <v>2</v>
      </c>
      <c r="H223" s="44">
        <v>2</v>
      </c>
      <c r="I223" s="230">
        <v>432.9</v>
      </c>
      <c r="J223" s="230">
        <v>392.1</v>
      </c>
      <c r="K223" s="228">
        <v>28</v>
      </c>
      <c r="L223" s="117">
        <f>'Приложение 2 КСП 2018-2019 гг'!G225</f>
        <v>631423.69999999995</v>
      </c>
      <c r="M223" s="230">
        <v>0</v>
      </c>
      <c r="N223" s="230">
        <v>0</v>
      </c>
      <c r="O223" s="230">
        <v>0</v>
      </c>
      <c r="P223" s="230">
        <f t="shared" si="23"/>
        <v>631423.69999999995</v>
      </c>
      <c r="Q223" s="230">
        <v>0</v>
      </c>
      <c r="R223" s="230">
        <v>0</v>
      </c>
      <c r="S223" s="46" t="s">
        <v>585</v>
      </c>
      <c r="T223" s="41"/>
      <c r="U223" s="42"/>
      <c r="V223" s="161"/>
    </row>
    <row r="224" spans="1:22" ht="9" hidden="1" customHeight="1">
      <c r="A224" s="339">
        <v>197</v>
      </c>
      <c r="B224" s="227" t="s">
        <v>821</v>
      </c>
      <c r="C224" s="46" t="s">
        <v>1126</v>
      </c>
      <c r="D224" s="119" t="s">
        <v>1125</v>
      </c>
      <c r="E224" s="228" t="s">
        <v>595</v>
      </c>
      <c r="F224" s="228" t="s">
        <v>87</v>
      </c>
      <c r="G224" s="44">
        <v>2</v>
      </c>
      <c r="H224" s="44">
        <v>2</v>
      </c>
      <c r="I224" s="230">
        <v>677.7</v>
      </c>
      <c r="J224" s="230">
        <v>605.70000000000005</v>
      </c>
      <c r="K224" s="228">
        <v>33</v>
      </c>
      <c r="L224" s="117">
        <f>'Приложение 2 КСП 2018-2019 гг'!G226</f>
        <v>1456893.92</v>
      </c>
      <c r="M224" s="230">
        <v>0</v>
      </c>
      <c r="N224" s="230">
        <v>0</v>
      </c>
      <c r="O224" s="230">
        <v>0</v>
      </c>
      <c r="P224" s="230">
        <f t="shared" si="23"/>
        <v>1456893.92</v>
      </c>
      <c r="Q224" s="230">
        <v>0</v>
      </c>
      <c r="R224" s="230">
        <v>0</v>
      </c>
      <c r="S224" s="46" t="s">
        <v>585</v>
      </c>
      <c r="T224" s="41"/>
      <c r="U224" s="42"/>
      <c r="V224" s="161"/>
    </row>
    <row r="225" spans="1:22" ht="22.5" hidden="1" customHeight="1">
      <c r="A225" s="599" t="s">
        <v>268</v>
      </c>
      <c r="B225" s="599"/>
      <c r="C225" s="46"/>
      <c r="D225" s="227"/>
      <c r="E225" s="54" t="s">
        <v>387</v>
      </c>
      <c r="F225" s="54" t="s">
        <v>387</v>
      </c>
      <c r="G225" s="54" t="s">
        <v>387</v>
      </c>
      <c r="H225" s="54" t="s">
        <v>387</v>
      </c>
      <c r="I225" s="225">
        <f>SUM(I210:I224)</f>
        <v>18377.260000000002</v>
      </c>
      <c r="J225" s="225">
        <f t="shared" ref="J225:R225" si="24">SUM(J210:J224)</f>
        <v>13987.020000000002</v>
      </c>
      <c r="K225" s="47">
        <f t="shared" si="24"/>
        <v>721</v>
      </c>
      <c r="L225" s="225">
        <f t="shared" si="24"/>
        <v>25733547.300000004</v>
      </c>
      <c r="M225" s="225">
        <f t="shared" si="24"/>
        <v>0</v>
      </c>
      <c r="N225" s="225">
        <f t="shared" si="24"/>
        <v>0</v>
      </c>
      <c r="O225" s="225">
        <f t="shared" si="24"/>
        <v>0</v>
      </c>
      <c r="P225" s="225">
        <f t="shared" si="24"/>
        <v>25733547.300000004</v>
      </c>
      <c r="Q225" s="225">
        <f t="shared" si="24"/>
        <v>0</v>
      </c>
      <c r="R225" s="225">
        <f t="shared" si="24"/>
        <v>0</v>
      </c>
      <c r="S225" s="230"/>
      <c r="T225" s="229"/>
      <c r="U225" s="42"/>
      <c r="V225" s="161"/>
    </row>
    <row r="226" spans="1:22" ht="9" hidden="1" customHeight="1">
      <c r="A226" s="504" t="s">
        <v>441</v>
      </c>
      <c r="B226" s="504"/>
      <c r="C226" s="504"/>
      <c r="D226" s="504"/>
      <c r="E226" s="504"/>
      <c r="F226" s="504"/>
      <c r="G226" s="504"/>
      <c r="H226" s="504"/>
      <c r="I226" s="504"/>
      <c r="J226" s="504"/>
      <c r="K226" s="504"/>
      <c r="L226" s="504"/>
      <c r="M226" s="504"/>
      <c r="N226" s="504"/>
      <c r="O226" s="504"/>
      <c r="P226" s="504"/>
      <c r="Q226" s="504"/>
      <c r="R226" s="504"/>
      <c r="S226" s="504"/>
      <c r="T226" s="190"/>
      <c r="U226" s="190"/>
      <c r="V226" s="161"/>
    </row>
    <row r="227" spans="1:22" ht="9" hidden="1" customHeight="1">
      <c r="A227" s="78">
        <v>198</v>
      </c>
      <c r="B227" s="227" t="s">
        <v>838</v>
      </c>
      <c r="C227" s="46" t="s">
        <v>1126</v>
      </c>
      <c r="D227" s="119" t="s">
        <v>1125</v>
      </c>
      <c r="E227" s="228" t="s">
        <v>596</v>
      </c>
      <c r="F227" s="228" t="s">
        <v>772</v>
      </c>
      <c r="G227" s="44">
        <v>2</v>
      </c>
      <c r="H227" s="44">
        <v>1</v>
      </c>
      <c r="I227" s="230">
        <v>306.7</v>
      </c>
      <c r="J227" s="230">
        <v>291.39999999999998</v>
      </c>
      <c r="K227" s="44">
        <v>13</v>
      </c>
      <c r="L227" s="117">
        <f>'Приложение 2 КСП 2018-2019 гг'!G229</f>
        <v>33616.639999999999</v>
      </c>
      <c r="M227" s="230">
        <v>0</v>
      </c>
      <c r="N227" s="230">
        <v>0</v>
      </c>
      <c r="O227" s="230">
        <v>0</v>
      </c>
      <c r="P227" s="230">
        <f t="shared" ref="P227:P228" si="25">L227</f>
        <v>33616.639999999999</v>
      </c>
      <c r="Q227" s="230">
        <v>0</v>
      </c>
      <c r="R227" s="230">
        <v>0</v>
      </c>
      <c r="S227" s="46" t="s">
        <v>585</v>
      </c>
      <c r="T227" s="41"/>
      <c r="U227" s="42"/>
      <c r="V227" s="161"/>
    </row>
    <row r="228" spans="1:22" ht="9" hidden="1" customHeight="1">
      <c r="A228" s="78">
        <v>199</v>
      </c>
      <c r="B228" s="227" t="s">
        <v>839</v>
      </c>
      <c r="C228" s="46" t="s">
        <v>1126</v>
      </c>
      <c r="D228" s="119" t="s">
        <v>1125</v>
      </c>
      <c r="E228" s="228" t="s">
        <v>589</v>
      </c>
      <c r="F228" s="228" t="s">
        <v>89</v>
      </c>
      <c r="G228" s="44">
        <v>2</v>
      </c>
      <c r="H228" s="44">
        <v>2</v>
      </c>
      <c r="I228" s="230">
        <v>853.7</v>
      </c>
      <c r="J228" s="230">
        <v>803.5</v>
      </c>
      <c r="K228" s="44">
        <v>10</v>
      </c>
      <c r="L228" s="117">
        <f>'Приложение 2 КСП 2018-2019 гг'!G230</f>
        <v>2062808.56</v>
      </c>
      <c r="M228" s="230">
        <v>0</v>
      </c>
      <c r="N228" s="230">
        <v>0</v>
      </c>
      <c r="O228" s="230">
        <v>0</v>
      </c>
      <c r="P228" s="230">
        <f t="shared" si="25"/>
        <v>2062808.56</v>
      </c>
      <c r="Q228" s="230">
        <v>0</v>
      </c>
      <c r="R228" s="230">
        <v>0</v>
      </c>
      <c r="S228" s="46" t="s">
        <v>585</v>
      </c>
      <c r="T228" s="41"/>
      <c r="U228" s="42"/>
      <c r="V228" s="161"/>
    </row>
    <row r="229" spans="1:22" ht="39.75" hidden="1" customHeight="1">
      <c r="A229" s="606" t="s">
        <v>442</v>
      </c>
      <c r="B229" s="606"/>
      <c r="C229" s="86"/>
      <c r="D229" s="226"/>
      <c r="E229" s="78" t="s">
        <v>387</v>
      </c>
      <c r="F229" s="78" t="s">
        <v>387</v>
      </c>
      <c r="G229" s="78" t="s">
        <v>387</v>
      </c>
      <c r="H229" s="78" t="s">
        <v>387</v>
      </c>
      <c r="I229" s="79">
        <f>SUM(I227:I228)</f>
        <v>1160.4000000000001</v>
      </c>
      <c r="J229" s="79">
        <f t="shared" ref="J229:R229" si="26">SUM(J227:J228)</f>
        <v>1094.9000000000001</v>
      </c>
      <c r="K229" s="80">
        <f t="shared" si="26"/>
        <v>23</v>
      </c>
      <c r="L229" s="79">
        <f t="shared" si="26"/>
        <v>2096425.2</v>
      </c>
      <c r="M229" s="79">
        <f t="shared" si="26"/>
        <v>0</v>
      </c>
      <c r="N229" s="79">
        <f t="shared" si="26"/>
        <v>0</v>
      </c>
      <c r="O229" s="79">
        <f t="shared" si="26"/>
        <v>0</v>
      </c>
      <c r="P229" s="79">
        <f t="shared" si="26"/>
        <v>2096425.2</v>
      </c>
      <c r="Q229" s="79">
        <f t="shared" si="26"/>
        <v>0</v>
      </c>
      <c r="R229" s="79">
        <f t="shared" si="26"/>
        <v>0</v>
      </c>
      <c r="S229" s="230"/>
      <c r="T229" s="41"/>
      <c r="U229" s="163"/>
      <c r="V229" s="161"/>
    </row>
    <row r="230" spans="1:22" ht="20.25" hidden="1" customHeight="1">
      <c r="A230" s="504" t="s">
        <v>393</v>
      </c>
      <c r="B230" s="504"/>
      <c r="C230" s="504"/>
      <c r="D230" s="504"/>
      <c r="E230" s="504"/>
      <c r="F230" s="504"/>
      <c r="G230" s="504"/>
      <c r="H230" s="504"/>
      <c r="I230" s="504"/>
      <c r="J230" s="504"/>
      <c r="K230" s="504"/>
      <c r="L230" s="504"/>
      <c r="M230" s="504"/>
      <c r="N230" s="504"/>
      <c r="O230" s="504"/>
      <c r="P230" s="504"/>
      <c r="Q230" s="504"/>
      <c r="R230" s="504"/>
      <c r="S230" s="504"/>
      <c r="T230" s="190"/>
      <c r="U230" s="190"/>
      <c r="V230" s="161"/>
    </row>
    <row r="231" spans="1:22" ht="9" hidden="1" customHeight="1">
      <c r="A231" s="78">
        <v>200</v>
      </c>
      <c r="B231" s="227" t="s">
        <v>837</v>
      </c>
      <c r="C231" s="46" t="s">
        <v>1126</v>
      </c>
      <c r="D231" s="119" t="s">
        <v>1125</v>
      </c>
      <c r="E231" s="228" t="s">
        <v>0</v>
      </c>
      <c r="F231" s="228" t="s">
        <v>87</v>
      </c>
      <c r="G231" s="44">
        <v>2</v>
      </c>
      <c r="H231" s="44">
        <v>2</v>
      </c>
      <c r="I231" s="230">
        <v>838.5</v>
      </c>
      <c r="J231" s="230">
        <v>752.2</v>
      </c>
      <c r="K231" s="44">
        <v>35</v>
      </c>
      <c r="L231" s="117">
        <f>'Приложение 2 КСП 2018-2019 гг'!G233</f>
        <v>2466503.86</v>
      </c>
      <c r="M231" s="230">
        <v>0</v>
      </c>
      <c r="N231" s="230">
        <v>0</v>
      </c>
      <c r="O231" s="230">
        <v>0</v>
      </c>
      <c r="P231" s="230">
        <f t="shared" ref="P231:P232" si="27">L231</f>
        <v>2466503.86</v>
      </c>
      <c r="Q231" s="230">
        <v>0</v>
      </c>
      <c r="R231" s="230">
        <v>0</v>
      </c>
      <c r="S231" s="46" t="s">
        <v>585</v>
      </c>
      <c r="T231" s="41"/>
      <c r="U231" s="42"/>
      <c r="V231" s="161"/>
    </row>
    <row r="232" spans="1:22" ht="9" hidden="1" customHeight="1">
      <c r="A232" s="78">
        <v>201</v>
      </c>
      <c r="B232" s="227" t="s">
        <v>840</v>
      </c>
      <c r="C232" s="46" t="s">
        <v>1126</v>
      </c>
      <c r="D232" s="119" t="s">
        <v>1125</v>
      </c>
      <c r="E232" s="228" t="s">
        <v>604</v>
      </c>
      <c r="F232" s="228" t="s">
        <v>87</v>
      </c>
      <c r="G232" s="44">
        <v>2</v>
      </c>
      <c r="H232" s="44">
        <v>3</v>
      </c>
      <c r="I232" s="230">
        <v>1977.1</v>
      </c>
      <c r="J232" s="230">
        <v>1865</v>
      </c>
      <c r="K232" s="44">
        <v>12</v>
      </c>
      <c r="L232" s="117">
        <f>'Приложение 2 КСП 2018-2019 гг'!G234</f>
        <v>3441620.84</v>
      </c>
      <c r="M232" s="230">
        <v>0</v>
      </c>
      <c r="N232" s="230">
        <v>0</v>
      </c>
      <c r="O232" s="230">
        <v>0</v>
      </c>
      <c r="P232" s="230">
        <f t="shared" si="27"/>
        <v>3441620.84</v>
      </c>
      <c r="Q232" s="230">
        <v>0</v>
      </c>
      <c r="R232" s="230">
        <v>0</v>
      </c>
      <c r="S232" s="46" t="s">
        <v>585</v>
      </c>
      <c r="T232" s="41"/>
      <c r="U232" s="42"/>
      <c r="V232" s="161"/>
    </row>
    <row r="233" spans="1:22" ht="20.25" hidden="1" customHeight="1">
      <c r="A233" s="606" t="s">
        <v>394</v>
      </c>
      <c r="B233" s="606"/>
      <c r="C233" s="86"/>
      <c r="D233" s="78"/>
      <c r="E233" s="78" t="s">
        <v>387</v>
      </c>
      <c r="F233" s="78" t="s">
        <v>387</v>
      </c>
      <c r="G233" s="78" t="s">
        <v>387</v>
      </c>
      <c r="H233" s="78" t="s">
        <v>387</v>
      </c>
      <c r="I233" s="79">
        <f>SUM(I231:I232)</f>
        <v>2815.6</v>
      </c>
      <c r="J233" s="79">
        <f t="shared" ref="J233:R233" si="28">SUM(J231:J232)</f>
        <v>2617.1999999999998</v>
      </c>
      <c r="K233" s="80">
        <f t="shared" si="28"/>
        <v>47</v>
      </c>
      <c r="L233" s="79">
        <f t="shared" si="28"/>
        <v>5908124.6999999993</v>
      </c>
      <c r="M233" s="79">
        <f t="shared" si="28"/>
        <v>0</v>
      </c>
      <c r="N233" s="79">
        <f t="shared" si="28"/>
        <v>0</v>
      </c>
      <c r="O233" s="79">
        <f t="shared" si="28"/>
        <v>0</v>
      </c>
      <c r="P233" s="79">
        <f t="shared" si="28"/>
        <v>5908124.6999999993</v>
      </c>
      <c r="Q233" s="79">
        <f t="shared" si="28"/>
        <v>0</v>
      </c>
      <c r="R233" s="79">
        <f t="shared" si="28"/>
        <v>0</v>
      </c>
      <c r="S233" s="230"/>
      <c r="T233" s="41"/>
      <c r="U233" s="163"/>
      <c r="V233" s="161"/>
    </row>
    <row r="234" spans="1:22" ht="12" hidden="1" customHeight="1">
      <c r="A234" s="502" t="s">
        <v>438</v>
      </c>
      <c r="B234" s="502"/>
      <c r="C234" s="502"/>
      <c r="D234" s="502"/>
      <c r="E234" s="502"/>
      <c r="F234" s="502"/>
      <c r="G234" s="502"/>
      <c r="H234" s="502"/>
      <c r="I234" s="502"/>
      <c r="J234" s="502"/>
      <c r="K234" s="502"/>
      <c r="L234" s="502"/>
      <c r="M234" s="502"/>
      <c r="N234" s="502"/>
      <c r="O234" s="502"/>
      <c r="P234" s="502"/>
      <c r="Q234" s="502"/>
      <c r="R234" s="502"/>
      <c r="S234" s="502"/>
      <c r="T234" s="162"/>
      <c r="U234" s="162"/>
      <c r="V234" s="161"/>
    </row>
    <row r="235" spans="1:22" ht="9" hidden="1" customHeight="1">
      <c r="A235" s="228">
        <v>202</v>
      </c>
      <c r="B235" s="227" t="s">
        <v>844</v>
      </c>
      <c r="C235" s="46" t="s">
        <v>1126</v>
      </c>
      <c r="D235" s="119" t="s">
        <v>1125</v>
      </c>
      <c r="E235" s="228" t="s">
        <v>742</v>
      </c>
      <c r="F235" s="228" t="s">
        <v>87</v>
      </c>
      <c r="G235" s="44">
        <v>3</v>
      </c>
      <c r="H235" s="44">
        <v>3</v>
      </c>
      <c r="I235" s="230">
        <v>2049.8000000000002</v>
      </c>
      <c r="J235" s="230">
        <v>1538.2</v>
      </c>
      <c r="K235" s="44">
        <v>18</v>
      </c>
      <c r="L235" s="117">
        <f>'Приложение 2 КСП 2018-2019 гг'!G237</f>
        <v>2911295.58</v>
      </c>
      <c r="M235" s="230">
        <v>0</v>
      </c>
      <c r="N235" s="230">
        <v>0</v>
      </c>
      <c r="O235" s="230">
        <v>0</v>
      </c>
      <c r="P235" s="230">
        <f t="shared" ref="P235" si="29">L235</f>
        <v>2911295.58</v>
      </c>
      <c r="Q235" s="230">
        <v>0</v>
      </c>
      <c r="R235" s="230">
        <v>0</v>
      </c>
      <c r="S235" s="46" t="s">
        <v>585</v>
      </c>
      <c r="T235" s="41"/>
      <c r="U235" s="42"/>
      <c r="V235" s="161"/>
    </row>
    <row r="236" spans="1:22" ht="35.25" hidden="1" customHeight="1">
      <c r="A236" s="599" t="s">
        <v>439</v>
      </c>
      <c r="B236" s="599"/>
      <c r="C236" s="46"/>
      <c r="D236" s="227"/>
      <c r="E236" s="228" t="s">
        <v>387</v>
      </c>
      <c r="F236" s="228" t="s">
        <v>387</v>
      </c>
      <c r="G236" s="228" t="s">
        <v>387</v>
      </c>
      <c r="H236" s="228" t="s">
        <v>387</v>
      </c>
      <c r="I236" s="230">
        <f>SUM(I235)</f>
        <v>2049.8000000000002</v>
      </c>
      <c r="J236" s="230">
        <f t="shared" ref="J236:R236" si="30">SUM(J235)</f>
        <v>1538.2</v>
      </c>
      <c r="K236" s="45">
        <f t="shared" si="30"/>
        <v>18</v>
      </c>
      <c r="L236" s="230">
        <f t="shared" si="30"/>
        <v>2911295.58</v>
      </c>
      <c r="M236" s="230">
        <f t="shared" si="30"/>
        <v>0</v>
      </c>
      <c r="N236" s="230">
        <f t="shared" si="30"/>
        <v>0</v>
      </c>
      <c r="O236" s="230">
        <f t="shared" si="30"/>
        <v>0</v>
      </c>
      <c r="P236" s="230">
        <f t="shared" si="30"/>
        <v>2911295.58</v>
      </c>
      <c r="Q236" s="230">
        <f t="shared" si="30"/>
        <v>0</v>
      </c>
      <c r="R236" s="230">
        <f t="shared" si="30"/>
        <v>0</v>
      </c>
      <c r="S236" s="230"/>
      <c r="T236" s="41"/>
      <c r="U236" s="42"/>
      <c r="V236" s="161"/>
    </row>
    <row r="237" spans="1:22" ht="9" hidden="1" customHeight="1">
      <c r="A237" s="504" t="s">
        <v>431</v>
      </c>
      <c r="B237" s="504"/>
      <c r="C237" s="504"/>
      <c r="D237" s="504"/>
      <c r="E237" s="504"/>
      <c r="F237" s="504"/>
      <c r="G237" s="504"/>
      <c r="H237" s="504"/>
      <c r="I237" s="504"/>
      <c r="J237" s="504"/>
      <c r="K237" s="504"/>
      <c r="L237" s="504"/>
      <c r="M237" s="504"/>
      <c r="N237" s="504"/>
      <c r="O237" s="504"/>
      <c r="P237" s="504"/>
      <c r="Q237" s="504"/>
      <c r="R237" s="504"/>
      <c r="S237" s="504"/>
      <c r="T237" s="190"/>
      <c r="U237" s="190"/>
      <c r="V237" s="161"/>
    </row>
    <row r="238" spans="1:22" ht="9" hidden="1" customHeight="1">
      <c r="A238" s="78">
        <v>203</v>
      </c>
      <c r="B238" s="227" t="s">
        <v>851</v>
      </c>
      <c r="C238" s="46" t="s">
        <v>1126</v>
      </c>
      <c r="D238" s="119" t="s">
        <v>1125</v>
      </c>
      <c r="E238" s="228" t="s">
        <v>592</v>
      </c>
      <c r="F238" s="228" t="s">
        <v>87</v>
      </c>
      <c r="G238" s="44">
        <v>2</v>
      </c>
      <c r="H238" s="44">
        <v>2</v>
      </c>
      <c r="I238" s="230">
        <v>531.5</v>
      </c>
      <c r="J238" s="230">
        <v>516.20000000000005</v>
      </c>
      <c r="K238" s="44">
        <v>15</v>
      </c>
      <c r="L238" s="117">
        <f>'Приложение 2 КСП 2018-2019 гг'!G240</f>
        <v>1777682.4</v>
      </c>
      <c r="M238" s="230">
        <v>0</v>
      </c>
      <c r="N238" s="230">
        <v>0</v>
      </c>
      <c r="O238" s="230">
        <v>0</v>
      </c>
      <c r="P238" s="230">
        <f t="shared" ref="P238" si="31">L238</f>
        <v>1777682.4</v>
      </c>
      <c r="Q238" s="230">
        <v>0</v>
      </c>
      <c r="R238" s="230">
        <v>0</v>
      </c>
      <c r="S238" s="46" t="s">
        <v>585</v>
      </c>
      <c r="T238" s="41"/>
      <c r="U238" s="42"/>
      <c r="V238" s="161"/>
    </row>
    <row r="239" spans="1:22" ht="28.5" hidden="1" customHeight="1">
      <c r="A239" s="599" t="s">
        <v>432</v>
      </c>
      <c r="B239" s="599"/>
      <c r="C239" s="46"/>
      <c r="D239" s="227"/>
      <c r="E239" s="78" t="s">
        <v>387</v>
      </c>
      <c r="F239" s="78" t="s">
        <v>387</v>
      </c>
      <c r="G239" s="78" t="s">
        <v>387</v>
      </c>
      <c r="H239" s="78" t="s">
        <v>387</v>
      </c>
      <c r="I239" s="79">
        <f>SUM(I238)</f>
        <v>531.5</v>
      </c>
      <c r="J239" s="79">
        <f t="shared" ref="J239:R239" si="32">SUM(J238)</f>
        <v>516.20000000000005</v>
      </c>
      <c r="K239" s="80">
        <f t="shared" si="32"/>
        <v>15</v>
      </c>
      <c r="L239" s="79">
        <f t="shared" si="32"/>
        <v>1777682.4</v>
      </c>
      <c r="M239" s="79">
        <f t="shared" si="32"/>
        <v>0</v>
      </c>
      <c r="N239" s="79">
        <f t="shared" si="32"/>
        <v>0</v>
      </c>
      <c r="O239" s="79">
        <f t="shared" si="32"/>
        <v>0</v>
      </c>
      <c r="P239" s="79">
        <f t="shared" si="32"/>
        <v>1777682.4</v>
      </c>
      <c r="Q239" s="79">
        <f t="shared" si="32"/>
        <v>0</v>
      </c>
      <c r="R239" s="79">
        <f t="shared" si="32"/>
        <v>0</v>
      </c>
      <c r="S239" s="230"/>
      <c r="T239" s="41"/>
      <c r="U239" s="163"/>
      <c r="V239" s="161"/>
    </row>
    <row r="240" spans="1:22" ht="9" hidden="1" customHeight="1">
      <c r="A240" s="504" t="s">
        <v>855</v>
      </c>
      <c r="B240" s="504"/>
      <c r="C240" s="504"/>
      <c r="D240" s="504"/>
      <c r="E240" s="504"/>
      <c r="F240" s="504"/>
      <c r="G240" s="504"/>
      <c r="H240" s="504"/>
      <c r="I240" s="504"/>
      <c r="J240" s="504"/>
      <c r="K240" s="504"/>
      <c r="L240" s="504"/>
      <c r="M240" s="504"/>
      <c r="N240" s="504"/>
      <c r="O240" s="504"/>
      <c r="P240" s="504"/>
      <c r="Q240" s="504"/>
      <c r="R240" s="504"/>
      <c r="S240" s="504"/>
      <c r="T240" s="190"/>
      <c r="U240" s="190"/>
      <c r="V240" s="161"/>
    </row>
    <row r="241" spans="1:22" ht="9" hidden="1" customHeight="1">
      <c r="A241" s="78">
        <v>204</v>
      </c>
      <c r="B241" s="227" t="s">
        <v>852</v>
      </c>
      <c r="C241" s="46" t="s">
        <v>1126</v>
      </c>
      <c r="D241" s="119" t="s">
        <v>1125</v>
      </c>
      <c r="E241" s="228" t="s">
        <v>593</v>
      </c>
      <c r="F241" s="228" t="s">
        <v>89</v>
      </c>
      <c r="G241" s="228" t="s">
        <v>72</v>
      </c>
      <c r="H241" s="228" t="s">
        <v>72</v>
      </c>
      <c r="I241" s="230">
        <v>674.2</v>
      </c>
      <c r="J241" s="230">
        <v>634.20000000000005</v>
      </c>
      <c r="K241" s="44">
        <v>15</v>
      </c>
      <c r="L241" s="117">
        <f>'Приложение 2 КСП 2018-2019 гг'!G243</f>
        <v>1269115.33</v>
      </c>
      <c r="M241" s="230">
        <v>0</v>
      </c>
      <c r="N241" s="230">
        <v>0</v>
      </c>
      <c r="O241" s="230">
        <v>0</v>
      </c>
      <c r="P241" s="230">
        <f t="shared" ref="P241" si="33">L241</f>
        <v>1269115.33</v>
      </c>
      <c r="Q241" s="230">
        <v>0</v>
      </c>
      <c r="R241" s="230">
        <v>0</v>
      </c>
      <c r="S241" s="46" t="s">
        <v>585</v>
      </c>
      <c r="T241" s="41"/>
      <c r="U241" s="42"/>
      <c r="V241" s="161"/>
    </row>
    <row r="242" spans="1:22" ht="24" hidden="1" customHeight="1">
      <c r="A242" s="599" t="s">
        <v>1006</v>
      </c>
      <c r="B242" s="599"/>
      <c r="C242" s="46"/>
      <c r="D242" s="227"/>
      <c r="E242" s="78" t="s">
        <v>387</v>
      </c>
      <c r="F242" s="78" t="s">
        <v>387</v>
      </c>
      <c r="G242" s="78" t="s">
        <v>387</v>
      </c>
      <c r="H242" s="78" t="s">
        <v>387</v>
      </c>
      <c r="I242" s="79">
        <f>SUM(I241)</f>
        <v>674.2</v>
      </c>
      <c r="J242" s="79">
        <f t="shared" ref="J242:R242" si="34">SUM(J241)</f>
        <v>634.20000000000005</v>
      </c>
      <c r="K242" s="80">
        <f t="shared" si="34"/>
        <v>15</v>
      </c>
      <c r="L242" s="79">
        <f t="shared" si="34"/>
        <v>1269115.33</v>
      </c>
      <c r="M242" s="79">
        <f t="shared" si="34"/>
        <v>0</v>
      </c>
      <c r="N242" s="79">
        <f t="shared" si="34"/>
        <v>0</v>
      </c>
      <c r="O242" s="79">
        <f t="shared" si="34"/>
        <v>0</v>
      </c>
      <c r="P242" s="79">
        <f t="shared" si="34"/>
        <v>1269115.33</v>
      </c>
      <c r="Q242" s="79">
        <f t="shared" si="34"/>
        <v>0</v>
      </c>
      <c r="R242" s="79">
        <f t="shared" si="34"/>
        <v>0</v>
      </c>
      <c r="S242" s="230"/>
      <c r="T242" s="41"/>
      <c r="U242" s="163"/>
      <c r="V242" s="161"/>
    </row>
    <row r="243" spans="1:22" ht="9" hidden="1" customHeight="1">
      <c r="A243" s="502" t="s">
        <v>405</v>
      </c>
      <c r="B243" s="502"/>
      <c r="C243" s="502"/>
      <c r="D243" s="502"/>
      <c r="E243" s="502"/>
      <c r="F243" s="502"/>
      <c r="G243" s="502"/>
      <c r="H243" s="502"/>
      <c r="I243" s="502"/>
      <c r="J243" s="502"/>
      <c r="K243" s="502"/>
      <c r="L243" s="502"/>
      <c r="M243" s="502"/>
      <c r="N243" s="502"/>
      <c r="O243" s="502"/>
      <c r="P243" s="502"/>
      <c r="Q243" s="502"/>
      <c r="R243" s="502"/>
      <c r="S243" s="502"/>
      <c r="T243" s="162"/>
      <c r="U243" s="162"/>
      <c r="V243" s="161"/>
    </row>
    <row r="244" spans="1:22" ht="9" hidden="1" customHeight="1">
      <c r="A244" s="54">
        <v>205</v>
      </c>
      <c r="B244" s="62" t="s">
        <v>880</v>
      </c>
      <c r="C244" s="46" t="s">
        <v>1126</v>
      </c>
      <c r="D244" s="119" t="s">
        <v>1125</v>
      </c>
      <c r="E244" s="228" t="s">
        <v>595</v>
      </c>
      <c r="F244" s="228" t="s">
        <v>89</v>
      </c>
      <c r="G244" s="44">
        <v>3</v>
      </c>
      <c r="H244" s="44">
        <v>2</v>
      </c>
      <c r="I244" s="61">
        <v>1279.2</v>
      </c>
      <c r="J244" s="61">
        <v>1137.9000000000001</v>
      </c>
      <c r="K244" s="44">
        <v>230</v>
      </c>
      <c r="L244" s="117">
        <f>'Приложение 2 КСП 2018-2019 гг'!G246</f>
        <v>2465727.2000000002</v>
      </c>
      <c r="M244" s="230">
        <v>0</v>
      </c>
      <c r="N244" s="230">
        <v>0</v>
      </c>
      <c r="O244" s="230">
        <v>0</v>
      </c>
      <c r="P244" s="230">
        <f t="shared" ref="P244" si="35">L244</f>
        <v>2465727.2000000002</v>
      </c>
      <c r="Q244" s="230">
        <v>0</v>
      </c>
      <c r="R244" s="230">
        <v>0</v>
      </c>
      <c r="S244" s="46" t="s">
        <v>585</v>
      </c>
      <c r="T244" s="41"/>
      <c r="U244" s="42"/>
      <c r="V244" s="161"/>
    </row>
    <row r="245" spans="1:22" ht="35.25" hidden="1" customHeight="1">
      <c r="A245" s="599" t="s">
        <v>406</v>
      </c>
      <c r="B245" s="599"/>
      <c r="C245" s="46"/>
      <c r="D245" s="227"/>
      <c r="E245" s="228" t="s">
        <v>387</v>
      </c>
      <c r="F245" s="228" t="s">
        <v>387</v>
      </c>
      <c r="G245" s="228" t="s">
        <v>387</v>
      </c>
      <c r="H245" s="228" t="s">
        <v>387</v>
      </c>
      <c r="I245" s="61">
        <f>SUM(I244)</f>
        <v>1279.2</v>
      </c>
      <c r="J245" s="61">
        <f t="shared" ref="J245:R245" si="36">SUM(J244)</f>
        <v>1137.9000000000001</v>
      </c>
      <c r="K245" s="45">
        <f t="shared" si="36"/>
        <v>230</v>
      </c>
      <c r="L245" s="79">
        <f t="shared" si="36"/>
        <v>2465727.2000000002</v>
      </c>
      <c r="M245" s="61">
        <f t="shared" si="36"/>
        <v>0</v>
      </c>
      <c r="N245" s="61">
        <f t="shared" si="36"/>
        <v>0</v>
      </c>
      <c r="O245" s="61">
        <f t="shared" si="36"/>
        <v>0</v>
      </c>
      <c r="P245" s="61">
        <f t="shared" si="36"/>
        <v>2465727.2000000002</v>
      </c>
      <c r="Q245" s="61">
        <f t="shared" si="36"/>
        <v>0</v>
      </c>
      <c r="R245" s="61">
        <f t="shared" si="36"/>
        <v>0</v>
      </c>
      <c r="S245" s="230"/>
      <c r="T245" s="41"/>
      <c r="U245" s="42"/>
      <c r="V245" s="161"/>
    </row>
    <row r="246" spans="1:22" ht="9" hidden="1" customHeight="1">
      <c r="A246" s="502" t="s">
        <v>292</v>
      </c>
      <c r="B246" s="502"/>
      <c r="C246" s="502"/>
      <c r="D246" s="502"/>
      <c r="E246" s="502"/>
      <c r="F246" s="502"/>
      <c r="G246" s="502"/>
      <c r="H246" s="502"/>
      <c r="I246" s="502"/>
      <c r="J246" s="502"/>
      <c r="K246" s="502"/>
      <c r="L246" s="502"/>
      <c r="M246" s="502"/>
      <c r="N246" s="502"/>
      <c r="O246" s="502"/>
      <c r="P246" s="502"/>
      <c r="Q246" s="502"/>
      <c r="R246" s="502"/>
      <c r="S246" s="502"/>
      <c r="T246" s="162"/>
      <c r="U246" s="162"/>
      <c r="V246" s="161"/>
    </row>
    <row r="247" spans="1:22" ht="9" hidden="1" customHeight="1">
      <c r="A247" s="228">
        <v>206</v>
      </c>
      <c r="B247" s="227" t="s">
        <v>856</v>
      </c>
      <c r="C247" s="46" t="s">
        <v>1126</v>
      </c>
      <c r="D247" s="119" t="s">
        <v>1125</v>
      </c>
      <c r="E247" s="228" t="s">
        <v>589</v>
      </c>
      <c r="F247" s="228" t="s">
        <v>89</v>
      </c>
      <c r="G247" s="44">
        <v>5</v>
      </c>
      <c r="H247" s="44">
        <v>6</v>
      </c>
      <c r="I247" s="230">
        <v>6330.1</v>
      </c>
      <c r="J247" s="230">
        <v>5744.2</v>
      </c>
      <c r="K247" s="47">
        <v>206</v>
      </c>
      <c r="L247" s="117">
        <f>'Приложение 2 КСП 2018-2019 гг'!G249</f>
        <v>4842475.58</v>
      </c>
      <c r="M247" s="230">
        <v>0</v>
      </c>
      <c r="N247" s="230">
        <v>0</v>
      </c>
      <c r="O247" s="230">
        <v>0</v>
      </c>
      <c r="P247" s="230">
        <f t="shared" ref="P247:P251" si="37">L247</f>
        <v>4842475.58</v>
      </c>
      <c r="Q247" s="230">
        <v>0</v>
      </c>
      <c r="R247" s="230">
        <v>0</v>
      </c>
      <c r="S247" s="46" t="s">
        <v>585</v>
      </c>
      <c r="T247" s="41"/>
      <c r="U247" s="42"/>
      <c r="V247" s="161"/>
    </row>
    <row r="248" spans="1:22" ht="9" hidden="1" customHeight="1">
      <c r="A248" s="228">
        <v>207</v>
      </c>
      <c r="B248" s="227" t="s">
        <v>857</v>
      </c>
      <c r="C248" s="46" t="s">
        <v>1126</v>
      </c>
      <c r="D248" s="119" t="s">
        <v>1125</v>
      </c>
      <c r="E248" s="228" t="s">
        <v>822</v>
      </c>
      <c r="F248" s="228" t="s">
        <v>89</v>
      </c>
      <c r="G248" s="44">
        <v>5</v>
      </c>
      <c r="H248" s="44">
        <v>6</v>
      </c>
      <c r="I248" s="230">
        <v>6737.5</v>
      </c>
      <c r="J248" s="230">
        <v>6094.5</v>
      </c>
      <c r="K248" s="47">
        <v>234</v>
      </c>
      <c r="L248" s="117">
        <f>'Приложение 2 КСП 2018-2019 гг'!G250</f>
        <v>4864277.04</v>
      </c>
      <c r="M248" s="230">
        <v>0</v>
      </c>
      <c r="N248" s="230">
        <v>0</v>
      </c>
      <c r="O248" s="230">
        <v>0</v>
      </c>
      <c r="P248" s="230">
        <f t="shared" si="37"/>
        <v>4864277.04</v>
      </c>
      <c r="Q248" s="230">
        <v>0</v>
      </c>
      <c r="R248" s="230">
        <v>0</v>
      </c>
      <c r="S248" s="46" t="s">
        <v>585</v>
      </c>
      <c r="T248" s="41"/>
      <c r="U248" s="42"/>
      <c r="V248" s="161"/>
    </row>
    <row r="249" spans="1:22" ht="9" hidden="1" customHeight="1">
      <c r="A249" s="339">
        <v>208</v>
      </c>
      <c r="B249" s="227" t="s">
        <v>858</v>
      </c>
      <c r="C249" s="46" t="s">
        <v>1126</v>
      </c>
      <c r="D249" s="119" t="s">
        <v>1125</v>
      </c>
      <c r="E249" s="228" t="s">
        <v>741</v>
      </c>
      <c r="F249" s="228" t="s">
        <v>87</v>
      </c>
      <c r="G249" s="44">
        <v>2</v>
      </c>
      <c r="H249" s="44">
        <v>2</v>
      </c>
      <c r="I249" s="230">
        <v>959.1</v>
      </c>
      <c r="J249" s="230">
        <v>922.2</v>
      </c>
      <c r="K249" s="47">
        <v>27</v>
      </c>
      <c r="L249" s="117">
        <f>'Приложение 2 КСП 2018-2019 гг'!G251</f>
        <v>3055139.83</v>
      </c>
      <c r="M249" s="230">
        <v>0</v>
      </c>
      <c r="N249" s="230">
        <v>0</v>
      </c>
      <c r="O249" s="230">
        <v>0</v>
      </c>
      <c r="P249" s="230">
        <f t="shared" si="37"/>
        <v>3055139.83</v>
      </c>
      <c r="Q249" s="230">
        <v>0</v>
      </c>
      <c r="R249" s="230">
        <v>0</v>
      </c>
      <c r="S249" s="46" t="s">
        <v>585</v>
      </c>
      <c r="T249" s="41"/>
      <c r="U249" s="42"/>
      <c r="V249" s="161"/>
    </row>
    <row r="250" spans="1:22" ht="9" hidden="1" customHeight="1">
      <c r="A250" s="339">
        <v>209</v>
      </c>
      <c r="B250" s="227" t="s">
        <v>859</v>
      </c>
      <c r="C250" s="46" t="s">
        <v>1126</v>
      </c>
      <c r="D250" s="119" t="s">
        <v>1125</v>
      </c>
      <c r="E250" s="228" t="s">
        <v>611</v>
      </c>
      <c r="F250" s="228" t="s">
        <v>87</v>
      </c>
      <c r="G250" s="44">
        <v>5</v>
      </c>
      <c r="H250" s="44">
        <v>2</v>
      </c>
      <c r="I250" s="230">
        <v>2010.5</v>
      </c>
      <c r="J250" s="230">
        <v>1816.3</v>
      </c>
      <c r="K250" s="47">
        <v>59</v>
      </c>
      <c r="L250" s="117">
        <f>'Приложение 2 КСП 2018-2019 гг'!G252</f>
        <v>2375751.44</v>
      </c>
      <c r="M250" s="230">
        <v>0</v>
      </c>
      <c r="N250" s="230">
        <v>0</v>
      </c>
      <c r="O250" s="230">
        <v>0</v>
      </c>
      <c r="P250" s="230">
        <f t="shared" si="37"/>
        <v>2375751.44</v>
      </c>
      <c r="Q250" s="230">
        <v>0</v>
      </c>
      <c r="R250" s="230">
        <v>0</v>
      </c>
      <c r="S250" s="46" t="s">
        <v>585</v>
      </c>
      <c r="T250" s="41"/>
      <c r="U250" s="42"/>
      <c r="V250" s="161"/>
    </row>
    <row r="251" spans="1:22" ht="9" hidden="1" customHeight="1">
      <c r="A251" s="339">
        <v>210</v>
      </c>
      <c r="B251" s="227" t="s">
        <v>860</v>
      </c>
      <c r="C251" s="46" t="s">
        <v>1126</v>
      </c>
      <c r="D251" s="119" t="s">
        <v>1125</v>
      </c>
      <c r="E251" s="228" t="s">
        <v>325</v>
      </c>
      <c r="F251" s="228" t="s">
        <v>772</v>
      </c>
      <c r="G251" s="44">
        <v>2</v>
      </c>
      <c r="H251" s="44">
        <v>2</v>
      </c>
      <c r="I251" s="230">
        <v>652.4</v>
      </c>
      <c r="J251" s="230">
        <v>640.4</v>
      </c>
      <c r="K251" s="47">
        <v>21</v>
      </c>
      <c r="L251" s="117">
        <f>'Приложение 2 КСП 2018-2019 гг'!G253</f>
        <v>1832427.25</v>
      </c>
      <c r="M251" s="230">
        <v>0</v>
      </c>
      <c r="N251" s="230">
        <v>0</v>
      </c>
      <c r="O251" s="230">
        <v>0</v>
      </c>
      <c r="P251" s="230">
        <f t="shared" si="37"/>
        <v>1832427.25</v>
      </c>
      <c r="Q251" s="230">
        <v>0</v>
      </c>
      <c r="R251" s="230">
        <v>0</v>
      </c>
      <c r="S251" s="46" t="s">
        <v>585</v>
      </c>
      <c r="T251" s="41"/>
      <c r="U251" s="42"/>
      <c r="V251" s="161"/>
    </row>
    <row r="252" spans="1:22" ht="9" hidden="1" customHeight="1">
      <c r="A252" s="339">
        <v>211</v>
      </c>
      <c r="B252" s="227" t="s">
        <v>861</v>
      </c>
      <c r="C252" s="46" t="s">
        <v>1126</v>
      </c>
      <c r="D252" s="119" t="s">
        <v>1125</v>
      </c>
      <c r="E252" s="228" t="s">
        <v>595</v>
      </c>
      <c r="F252" s="228" t="s">
        <v>87</v>
      </c>
      <c r="G252" s="44">
        <v>5</v>
      </c>
      <c r="H252" s="44">
        <v>4</v>
      </c>
      <c r="I252" s="230">
        <v>3714.8</v>
      </c>
      <c r="J252" s="230">
        <v>3115</v>
      </c>
      <c r="K252" s="47">
        <v>136</v>
      </c>
      <c r="L252" s="117">
        <f>'Приложение 2 КСП 2018-2019 гг'!G254</f>
        <v>4050310.23</v>
      </c>
      <c r="M252" s="230">
        <v>0</v>
      </c>
      <c r="N252" s="230">
        <v>0</v>
      </c>
      <c r="O252" s="230">
        <v>0</v>
      </c>
      <c r="P252" s="230">
        <f t="shared" ref="P252:P256" si="38">L252</f>
        <v>4050310.23</v>
      </c>
      <c r="Q252" s="230">
        <v>0</v>
      </c>
      <c r="R252" s="230">
        <v>0</v>
      </c>
      <c r="S252" s="46" t="s">
        <v>585</v>
      </c>
      <c r="T252" s="41"/>
      <c r="U252" s="42"/>
      <c r="V252" s="161"/>
    </row>
    <row r="253" spans="1:22" ht="9" hidden="1" customHeight="1">
      <c r="A253" s="339">
        <v>212</v>
      </c>
      <c r="B253" s="227" t="s">
        <v>862</v>
      </c>
      <c r="C253" s="46" t="s">
        <v>1126</v>
      </c>
      <c r="D253" s="119" t="s">
        <v>1125</v>
      </c>
      <c r="E253" s="228" t="s">
        <v>603</v>
      </c>
      <c r="F253" s="228" t="s">
        <v>87</v>
      </c>
      <c r="G253" s="44">
        <v>5</v>
      </c>
      <c r="H253" s="44">
        <v>1</v>
      </c>
      <c r="I253" s="230">
        <v>3974.1</v>
      </c>
      <c r="J253" s="230">
        <v>2545.1999999999998</v>
      </c>
      <c r="K253" s="47">
        <v>194</v>
      </c>
      <c r="L253" s="117">
        <f>'Приложение 2 КСП 2018-2019 гг'!G255</f>
        <v>5076327.0199999996</v>
      </c>
      <c r="M253" s="230">
        <v>0</v>
      </c>
      <c r="N253" s="230">
        <v>0</v>
      </c>
      <c r="O253" s="230">
        <v>0</v>
      </c>
      <c r="P253" s="230">
        <f t="shared" si="38"/>
        <v>5076327.0199999996</v>
      </c>
      <c r="Q253" s="230">
        <v>0</v>
      </c>
      <c r="R253" s="230">
        <v>0</v>
      </c>
      <c r="S253" s="46" t="s">
        <v>585</v>
      </c>
      <c r="T253" s="41"/>
      <c r="U253" s="42"/>
      <c r="V253" s="161"/>
    </row>
    <row r="254" spans="1:22" ht="9" hidden="1" customHeight="1">
      <c r="A254" s="339">
        <v>213</v>
      </c>
      <c r="B254" s="227" t="s">
        <v>863</v>
      </c>
      <c r="C254" s="46" t="s">
        <v>1126</v>
      </c>
      <c r="D254" s="119" t="s">
        <v>1125</v>
      </c>
      <c r="E254" s="228" t="s">
        <v>604</v>
      </c>
      <c r="F254" s="228" t="s">
        <v>87</v>
      </c>
      <c r="G254" s="44">
        <v>2</v>
      </c>
      <c r="H254" s="44">
        <v>1</v>
      </c>
      <c r="I254" s="230">
        <v>400.9</v>
      </c>
      <c r="J254" s="230">
        <v>372.7</v>
      </c>
      <c r="K254" s="47">
        <v>231</v>
      </c>
      <c r="L254" s="117">
        <f>'Приложение 2 КСП 2018-2019 гг'!G256</f>
        <v>1088642.79</v>
      </c>
      <c r="M254" s="230">
        <v>0</v>
      </c>
      <c r="N254" s="230">
        <v>0</v>
      </c>
      <c r="O254" s="230">
        <v>0</v>
      </c>
      <c r="P254" s="230">
        <f t="shared" si="38"/>
        <v>1088642.79</v>
      </c>
      <c r="Q254" s="230">
        <v>0</v>
      </c>
      <c r="R254" s="230">
        <v>0</v>
      </c>
      <c r="S254" s="46" t="s">
        <v>585</v>
      </c>
      <c r="T254" s="41"/>
      <c r="U254" s="42"/>
      <c r="V254" s="161"/>
    </row>
    <row r="255" spans="1:22" ht="9" hidden="1" customHeight="1">
      <c r="A255" s="339">
        <v>214</v>
      </c>
      <c r="B255" s="227" t="s">
        <v>864</v>
      </c>
      <c r="C255" s="46" t="s">
        <v>1126</v>
      </c>
      <c r="D255" s="119" t="s">
        <v>1125</v>
      </c>
      <c r="E255" s="228" t="s">
        <v>600</v>
      </c>
      <c r="F255" s="228" t="s">
        <v>87</v>
      </c>
      <c r="G255" s="44">
        <v>2</v>
      </c>
      <c r="H255" s="44">
        <v>3</v>
      </c>
      <c r="I255" s="230">
        <v>1050.9000000000001</v>
      </c>
      <c r="J255" s="230">
        <v>972.4</v>
      </c>
      <c r="K255" s="47">
        <v>184</v>
      </c>
      <c r="L255" s="117">
        <f>'Приложение 2 КСП 2018-2019 гг'!G257</f>
        <v>2194550.7999999998</v>
      </c>
      <c r="M255" s="230">
        <v>0</v>
      </c>
      <c r="N255" s="230">
        <v>0</v>
      </c>
      <c r="O255" s="230">
        <v>0</v>
      </c>
      <c r="P255" s="230">
        <f t="shared" si="38"/>
        <v>2194550.7999999998</v>
      </c>
      <c r="Q255" s="230">
        <v>0</v>
      </c>
      <c r="R255" s="230">
        <v>0</v>
      </c>
      <c r="S255" s="46" t="s">
        <v>585</v>
      </c>
      <c r="T255" s="41"/>
      <c r="U255" s="42"/>
      <c r="V255" s="161"/>
    </row>
    <row r="256" spans="1:22" ht="9" hidden="1" customHeight="1">
      <c r="A256" s="339">
        <v>215</v>
      </c>
      <c r="B256" s="227" t="s">
        <v>865</v>
      </c>
      <c r="C256" s="46" t="s">
        <v>1126</v>
      </c>
      <c r="D256" s="119" t="s">
        <v>1125</v>
      </c>
      <c r="E256" s="228" t="s">
        <v>604</v>
      </c>
      <c r="F256" s="228" t="s">
        <v>89</v>
      </c>
      <c r="G256" s="44">
        <v>2</v>
      </c>
      <c r="H256" s="44">
        <v>2</v>
      </c>
      <c r="I256" s="230">
        <v>676.1</v>
      </c>
      <c r="J256" s="230">
        <v>594.6</v>
      </c>
      <c r="K256" s="47">
        <v>23</v>
      </c>
      <c r="L256" s="117">
        <f>'Приложение 2 КСП 2018-2019 гг'!G258</f>
        <v>1848381.13</v>
      </c>
      <c r="M256" s="230">
        <v>0</v>
      </c>
      <c r="N256" s="230">
        <v>0</v>
      </c>
      <c r="O256" s="230">
        <v>0</v>
      </c>
      <c r="P256" s="230">
        <f t="shared" si="38"/>
        <v>1848381.13</v>
      </c>
      <c r="Q256" s="230">
        <v>0</v>
      </c>
      <c r="R256" s="230">
        <v>0</v>
      </c>
      <c r="S256" s="46" t="s">
        <v>585</v>
      </c>
      <c r="T256" s="41"/>
      <c r="U256" s="42"/>
      <c r="V256" s="161"/>
    </row>
    <row r="257" spans="1:22" ht="9" hidden="1" customHeight="1">
      <c r="A257" s="339">
        <v>216</v>
      </c>
      <c r="B257" s="227" t="s">
        <v>1066</v>
      </c>
      <c r="C257" s="46" t="s">
        <v>1126</v>
      </c>
      <c r="D257" s="119" t="s">
        <v>1125</v>
      </c>
      <c r="E257" s="228">
        <v>1986</v>
      </c>
      <c r="F257" s="228" t="s">
        <v>87</v>
      </c>
      <c r="G257" s="228">
        <v>9</v>
      </c>
      <c r="H257" s="228">
        <v>1</v>
      </c>
      <c r="I257" s="230">
        <v>7081.8</v>
      </c>
      <c r="J257" s="230">
        <v>3837.7999999999997</v>
      </c>
      <c r="K257" s="47">
        <v>345</v>
      </c>
      <c r="L257" s="117">
        <f>'Приложение 2 КСП 2018-2019 гг'!G259</f>
        <v>3927193.6000000001</v>
      </c>
      <c r="M257" s="230">
        <v>0</v>
      </c>
      <c r="N257" s="230">
        <v>0</v>
      </c>
      <c r="O257" s="230">
        <v>200000</v>
      </c>
      <c r="P257" s="230">
        <f>L257-O257</f>
        <v>3727193.6</v>
      </c>
      <c r="Q257" s="230">
        <v>0</v>
      </c>
      <c r="R257" s="230">
        <v>0</v>
      </c>
      <c r="S257" s="46" t="s">
        <v>585</v>
      </c>
      <c r="T257" s="41"/>
      <c r="U257" s="42"/>
      <c r="V257" s="161"/>
    </row>
    <row r="258" spans="1:22" ht="35.25" hidden="1" customHeight="1">
      <c r="A258" s="599" t="s">
        <v>298</v>
      </c>
      <c r="B258" s="599"/>
      <c r="C258" s="46"/>
      <c r="D258" s="228"/>
      <c r="E258" s="228" t="s">
        <v>387</v>
      </c>
      <c r="F258" s="228" t="s">
        <v>387</v>
      </c>
      <c r="G258" s="228" t="s">
        <v>387</v>
      </c>
      <c r="H258" s="228" t="s">
        <v>387</v>
      </c>
      <c r="I258" s="230">
        <f>SUM(I247:I257)</f>
        <v>33588.200000000004</v>
      </c>
      <c r="J258" s="230">
        <f t="shared" ref="J258:R258" si="39">SUM(J247:J257)</f>
        <v>26655.3</v>
      </c>
      <c r="K258" s="45">
        <f t="shared" si="39"/>
        <v>1660</v>
      </c>
      <c r="L258" s="230">
        <f t="shared" si="39"/>
        <v>35155476.710000001</v>
      </c>
      <c r="M258" s="230">
        <f t="shared" si="39"/>
        <v>0</v>
      </c>
      <c r="N258" s="230">
        <f t="shared" si="39"/>
        <v>0</v>
      </c>
      <c r="O258" s="230">
        <f t="shared" si="39"/>
        <v>200000</v>
      </c>
      <c r="P258" s="230">
        <f t="shared" si="39"/>
        <v>34955476.710000001</v>
      </c>
      <c r="Q258" s="230">
        <f t="shared" si="39"/>
        <v>0</v>
      </c>
      <c r="R258" s="230">
        <f t="shared" si="39"/>
        <v>0</v>
      </c>
      <c r="S258" s="230"/>
      <c r="T258" s="41"/>
      <c r="U258" s="42"/>
      <c r="V258" s="161"/>
    </row>
    <row r="259" spans="1:22" ht="9" hidden="1" customHeight="1">
      <c r="A259" s="502" t="s">
        <v>293</v>
      </c>
      <c r="B259" s="502"/>
      <c r="C259" s="502"/>
      <c r="D259" s="502"/>
      <c r="E259" s="502"/>
      <c r="F259" s="502"/>
      <c r="G259" s="502"/>
      <c r="H259" s="502"/>
      <c r="I259" s="502"/>
      <c r="J259" s="502"/>
      <c r="K259" s="502"/>
      <c r="L259" s="502"/>
      <c r="M259" s="502"/>
      <c r="N259" s="502"/>
      <c r="O259" s="502"/>
      <c r="P259" s="502"/>
      <c r="Q259" s="502"/>
      <c r="R259" s="502"/>
      <c r="S259" s="502"/>
      <c r="T259" s="162"/>
      <c r="U259" s="162"/>
      <c r="V259" s="161"/>
    </row>
    <row r="260" spans="1:22" ht="9" hidden="1" customHeight="1">
      <c r="A260" s="228">
        <v>217</v>
      </c>
      <c r="B260" s="68" t="s">
        <v>878</v>
      </c>
      <c r="C260" s="46" t="s">
        <v>1126</v>
      </c>
      <c r="D260" s="119" t="s">
        <v>1125</v>
      </c>
      <c r="E260" s="145" t="s">
        <v>604</v>
      </c>
      <c r="F260" s="145" t="s">
        <v>87</v>
      </c>
      <c r="G260" s="44">
        <v>5</v>
      </c>
      <c r="H260" s="44">
        <v>4</v>
      </c>
      <c r="I260" s="144">
        <v>3412.9</v>
      </c>
      <c r="J260" s="144">
        <v>3144</v>
      </c>
      <c r="K260" s="44">
        <v>17</v>
      </c>
      <c r="L260" s="117">
        <f>'Приложение 2 КСП 2018-2019 гг'!G262</f>
        <v>2592756.94</v>
      </c>
      <c r="M260" s="230">
        <v>0</v>
      </c>
      <c r="N260" s="230">
        <v>0</v>
      </c>
      <c r="O260" s="230">
        <v>0</v>
      </c>
      <c r="P260" s="230">
        <f t="shared" ref="P260" si="40">L260</f>
        <v>2592756.94</v>
      </c>
      <c r="Q260" s="144">
        <v>0</v>
      </c>
      <c r="R260" s="144">
        <v>0</v>
      </c>
      <c r="S260" s="46" t="s">
        <v>585</v>
      </c>
      <c r="T260" s="41"/>
      <c r="U260" s="42"/>
      <c r="V260" s="161"/>
    </row>
    <row r="261" spans="1:22" ht="35.25" hidden="1" customHeight="1">
      <c r="A261" s="599" t="s">
        <v>299</v>
      </c>
      <c r="B261" s="599"/>
      <c r="C261" s="46"/>
      <c r="D261" s="142"/>
      <c r="E261" s="145" t="s">
        <v>387</v>
      </c>
      <c r="F261" s="145" t="s">
        <v>387</v>
      </c>
      <c r="G261" s="145" t="s">
        <v>387</v>
      </c>
      <c r="H261" s="145" t="s">
        <v>387</v>
      </c>
      <c r="I261" s="230">
        <f>SUM(I260)</f>
        <v>3412.9</v>
      </c>
      <c r="J261" s="230">
        <f t="shared" ref="J261:R261" si="41">SUM(J260)</f>
        <v>3144</v>
      </c>
      <c r="K261" s="45">
        <f t="shared" si="41"/>
        <v>17</v>
      </c>
      <c r="L261" s="230">
        <f t="shared" si="41"/>
        <v>2592756.94</v>
      </c>
      <c r="M261" s="230">
        <f t="shared" si="41"/>
        <v>0</v>
      </c>
      <c r="N261" s="230">
        <f t="shared" si="41"/>
        <v>0</v>
      </c>
      <c r="O261" s="230">
        <f t="shared" si="41"/>
        <v>0</v>
      </c>
      <c r="P261" s="230">
        <f t="shared" si="41"/>
        <v>2592756.94</v>
      </c>
      <c r="Q261" s="230">
        <f t="shared" si="41"/>
        <v>0</v>
      </c>
      <c r="R261" s="230">
        <f t="shared" si="41"/>
        <v>0</v>
      </c>
      <c r="S261" s="144"/>
      <c r="T261" s="41"/>
      <c r="U261" s="42"/>
      <c r="V261" s="161"/>
    </row>
    <row r="262" spans="1:22" ht="9" hidden="1" customHeight="1">
      <c r="A262" s="502" t="s">
        <v>295</v>
      </c>
      <c r="B262" s="502"/>
      <c r="C262" s="502"/>
      <c r="D262" s="502"/>
      <c r="E262" s="502"/>
      <c r="F262" s="502"/>
      <c r="G262" s="502"/>
      <c r="H262" s="502"/>
      <c r="I262" s="502"/>
      <c r="J262" s="502"/>
      <c r="K262" s="502"/>
      <c r="L262" s="502"/>
      <c r="M262" s="502"/>
      <c r="N262" s="502"/>
      <c r="O262" s="502"/>
      <c r="P262" s="502"/>
      <c r="Q262" s="502"/>
      <c r="R262" s="502"/>
      <c r="S262" s="502"/>
      <c r="T262" s="162"/>
      <c r="U262" s="162"/>
      <c r="V262" s="161"/>
    </row>
    <row r="263" spans="1:22" ht="9" hidden="1" customHeight="1">
      <c r="A263" s="145">
        <v>218</v>
      </c>
      <c r="B263" s="142" t="s">
        <v>876</v>
      </c>
      <c r="C263" s="46" t="s">
        <v>1126</v>
      </c>
      <c r="D263" s="119" t="s">
        <v>1125</v>
      </c>
      <c r="E263" s="145" t="s">
        <v>296</v>
      </c>
      <c r="F263" s="145" t="s">
        <v>89</v>
      </c>
      <c r="G263" s="145" t="s">
        <v>75</v>
      </c>
      <c r="H263" s="145" t="s">
        <v>74</v>
      </c>
      <c r="I263" s="144">
        <v>4457.7</v>
      </c>
      <c r="J263" s="144">
        <v>3118.3</v>
      </c>
      <c r="K263" s="144">
        <v>128</v>
      </c>
      <c r="L263" s="117">
        <f>'Приложение 2 КСП 2018-2019 гг'!G265</f>
        <v>2519358.13</v>
      </c>
      <c r="M263" s="230">
        <v>0</v>
      </c>
      <c r="N263" s="230">
        <v>0</v>
      </c>
      <c r="O263" s="230">
        <v>0</v>
      </c>
      <c r="P263" s="230">
        <f t="shared" ref="P263" si="42">L263</f>
        <v>2519358.13</v>
      </c>
      <c r="Q263" s="144">
        <v>0</v>
      </c>
      <c r="R263" s="144">
        <v>0</v>
      </c>
      <c r="S263" s="46" t="s">
        <v>585</v>
      </c>
      <c r="T263" s="41"/>
      <c r="U263" s="42"/>
      <c r="V263" s="161"/>
    </row>
    <row r="264" spans="1:22" ht="34.5" hidden="1" customHeight="1">
      <c r="A264" s="599" t="s">
        <v>301</v>
      </c>
      <c r="B264" s="599"/>
      <c r="C264" s="46"/>
      <c r="D264" s="142"/>
      <c r="E264" s="145" t="s">
        <v>387</v>
      </c>
      <c r="F264" s="145" t="s">
        <v>387</v>
      </c>
      <c r="G264" s="145" t="s">
        <v>387</v>
      </c>
      <c r="H264" s="145" t="s">
        <v>387</v>
      </c>
      <c r="I264" s="230">
        <f>SUM(I263)</f>
        <v>4457.7</v>
      </c>
      <c r="J264" s="230">
        <f t="shared" ref="J264:R264" si="43">SUM(J263)</f>
        <v>3118.3</v>
      </c>
      <c r="K264" s="45">
        <f t="shared" si="43"/>
        <v>128</v>
      </c>
      <c r="L264" s="230">
        <f t="shared" si="43"/>
        <v>2519358.13</v>
      </c>
      <c r="M264" s="230">
        <f t="shared" si="43"/>
        <v>0</v>
      </c>
      <c r="N264" s="230">
        <f t="shared" si="43"/>
        <v>0</v>
      </c>
      <c r="O264" s="230">
        <f t="shared" si="43"/>
        <v>0</v>
      </c>
      <c r="P264" s="230">
        <f t="shared" si="43"/>
        <v>2519358.13</v>
      </c>
      <c r="Q264" s="230">
        <f t="shared" si="43"/>
        <v>0</v>
      </c>
      <c r="R264" s="230">
        <f t="shared" si="43"/>
        <v>0</v>
      </c>
      <c r="S264" s="144"/>
      <c r="T264" s="143"/>
      <c r="U264" s="42"/>
      <c r="V264" s="161"/>
    </row>
    <row r="265" spans="1:22" ht="9" hidden="1" customHeight="1">
      <c r="A265" s="509" t="s">
        <v>327</v>
      </c>
      <c r="B265" s="509"/>
      <c r="C265" s="509"/>
      <c r="D265" s="509"/>
      <c r="E265" s="509"/>
      <c r="F265" s="509"/>
      <c r="G265" s="509"/>
      <c r="H265" s="509"/>
      <c r="I265" s="509"/>
      <c r="J265" s="509"/>
      <c r="K265" s="509"/>
      <c r="L265" s="509"/>
      <c r="M265" s="509"/>
      <c r="N265" s="509"/>
      <c r="O265" s="509"/>
      <c r="P265" s="509"/>
      <c r="Q265" s="509"/>
      <c r="R265" s="509"/>
      <c r="S265" s="509"/>
      <c r="T265" s="191"/>
      <c r="U265" s="191"/>
      <c r="V265" s="161"/>
    </row>
    <row r="266" spans="1:22" ht="9" hidden="1" customHeight="1">
      <c r="A266" s="90">
        <v>219</v>
      </c>
      <c r="B266" s="142" t="s">
        <v>883</v>
      </c>
      <c r="C266" s="46" t="s">
        <v>1126</v>
      </c>
      <c r="D266" s="119" t="s">
        <v>1125</v>
      </c>
      <c r="E266" s="145" t="s">
        <v>604</v>
      </c>
      <c r="F266" s="145" t="s">
        <v>89</v>
      </c>
      <c r="G266" s="44">
        <v>5</v>
      </c>
      <c r="H266" s="44">
        <v>6</v>
      </c>
      <c r="I266" s="144">
        <v>6186.67</v>
      </c>
      <c r="J266" s="144">
        <f>4576.57+103.1</f>
        <v>4679.67</v>
      </c>
      <c r="K266" s="44">
        <v>157</v>
      </c>
      <c r="L266" s="117">
        <f>'Приложение 2 КСП 2018-2019 гг'!G268</f>
        <v>4566819.66</v>
      </c>
      <c r="M266" s="230">
        <v>0</v>
      </c>
      <c r="N266" s="230">
        <v>0</v>
      </c>
      <c r="O266" s="230">
        <v>0</v>
      </c>
      <c r="P266" s="230">
        <f t="shared" ref="P266:P269" si="44">L266</f>
        <v>4566819.66</v>
      </c>
      <c r="Q266" s="144">
        <v>0</v>
      </c>
      <c r="R266" s="144">
        <v>0</v>
      </c>
      <c r="S266" s="46" t="s">
        <v>585</v>
      </c>
      <c r="T266" s="41"/>
      <c r="U266" s="42"/>
      <c r="V266" s="161"/>
    </row>
    <row r="267" spans="1:22" ht="9" hidden="1" customHeight="1">
      <c r="A267" s="90">
        <v>220</v>
      </c>
      <c r="B267" s="142" t="s">
        <v>884</v>
      </c>
      <c r="C267" s="46" t="s">
        <v>1126</v>
      </c>
      <c r="D267" s="119" t="s">
        <v>1125</v>
      </c>
      <c r="E267" s="145" t="s">
        <v>600</v>
      </c>
      <c r="F267" s="145" t="s">
        <v>89</v>
      </c>
      <c r="G267" s="44">
        <v>5</v>
      </c>
      <c r="H267" s="44">
        <v>6</v>
      </c>
      <c r="I267" s="144">
        <v>5148.3</v>
      </c>
      <c r="J267" s="144">
        <v>3784</v>
      </c>
      <c r="K267" s="44">
        <v>130</v>
      </c>
      <c r="L267" s="117">
        <f>'Приложение 2 КСП 2018-2019 гг'!G269</f>
        <v>3736233.92</v>
      </c>
      <c r="M267" s="230">
        <v>0</v>
      </c>
      <c r="N267" s="230">
        <v>0</v>
      </c>
      <c r="O267" s="230">
        <v>0</v>
      </c>
      <c r="P267" s="230">
        <f t="shared" si="44"/>
        <v>3736233.92</v>
      </c>
      <c r="Q267" s="144">
        <v>0</v>
      </c>
      <c r="R267" s="144">
        <v>0</v>
      </c>
      <c r="S267" s="46" t="s">
        <v>585</v>
      </c>
      <c r="T267" s="41"/>
      <c r="U267" s="42"/>
      <c r="V267" s="161"/>
    </row>
    <row r="268" spans="1:22" ht="9" hidden="1" customHeight="1">
      <c r="A268" s="90">
        <v>221</v>
      </c>
      <c r="B268" s="142" t="s">
        <v>885</v>
      </c>
      <c r="C268" s="46" t="s">
        <v>1126</v>
      </c>
      <c r="D268" s="119" t="s">
        <v>1125</v>
      </c>
      <c r="E268" s="145" t="s">
        <v>604</v>
      </c>
      <c r="F268" s="145" t="s">
        <v>87</v>
      </c>
      <c r="G268" s="44">
        <v>5</v>
      </c>
      <c r="H268" s="44">
        <v>6</v>
      </c>
      <c r="I268" s="144">
        <v>5872.8</v>
      </c>
      <c r="J268" s="144">
        <v>4220.7</v>
      </c>
      <c r="K268" s="44">
        <v>164</v>
      </c>
      <c r="L268" s="117">
        <f>'Приложение 2 КСП 2018-2019 гг'!G270</f>
        <v>4444538.68</v>
      </c>
      <c r="M268" s="230">
        <v>0</v>
      </c>
      <c r="N268" s="230">
        <v>0</v>
      </c>
      <c r="O268" s="230">
        <v>0</v>
      </c>
      <c r="P268" s="230">
        <f t="shared" si="44"/>
        <v>4444538.68</v>
      </c>
      <c r="Q268" s="144">
        <v>0</v>
      </c>
      <c r="R268" s="144">
        <v>0</v>
      </c>
      <c r="S268" s="46" t="s">
        <v>585</v>
      </c>
      <c r="T268" s="41"/>
      <c r="U268" s="42"/>
      <c r="V268" s="161"/>
    </row>
    <row r="269" spans="1:22" ht="9" hidden="1" customHeight="1">
      <c r="A269" s="90">
        <v>222</v>
      </c>
      <c r="B269" s="142" t="s">
        <v>886</v>
      </c>
      <c r="C269" s="46" t="s">
        <v>1126</v>
      </c>
      <c r="D269" s="119" t="s">
        <v>1125</v>
      </c>
      <c r="E269" s="145" t="s">
        <v>610</v>
      </c>
      <c r="F269" s="145" t="s">
        <v>89</v>
      </c>
      <c r="G269" s="44">
        <v>5</v>
      </c>
      <c r="H269" s="44">
        <v>6</v>
      </c>
      <c r="I269" s="144">
        <v>6151.62</v>
      </c>
      <c r="J269" s="144">
        <f>4334.82+202.9</f>
        <v>4537.7199999999993</v>
      </c>
      <c r="K269" s="44">
        <v>151</v>
      </c>
      <c r="L269" s="117">
        <f>'Приложение 2 КСП 2018-2019 гг'!G271</f>
        <v>4534507.1399999997</v>
      </c>
      <c r="M269" s="230">
        <v>0</v>
      </c>
      <c r="N269" s="230">
        <v>0</v>
      </c>
      <c r="O269" s="230">
        <v>0</v>
      </c>
      <c r="P269" s="230">
        <f t="shared" si="44"/>
        <v>4534507.1399999997</v>
      </c>
      <c r="Q269" s="144">
        <v>0</v>
      </c>
      <c r="R269" s="144">
        <v>0</v>
      </c>
      <c r="S269" s="46" t="s">
        <v>585</v>
      </c>
      <c r="T269" s="41"/>
      <c r="U269" s="42"/>
      <c r="V269" s="161"/>
    </row>
    <row r="270" spans="1:22" ht="23.25" hidden="1" customHeight="1">
      <c r="A270" s="607" t="s">
        <v>328</v>
      </c>
      <c r="B270" s="607"/>
      <c r="C270" s="94"/>
      <c r="D270" s="90"/>
      <c r="E270" s="145" t="s">
        <v>387</v>
      </c>
      <c r="F270" s="145" t="s">
        <v>387</v>
      </c>
      <c r="G270" s="145" t="s">
        <v>387</v>
      </c>
      <c r="H270" s="145" t="s">
        <v>387</v>
      </c>
      <c r="I270" s="230">
        <f>SUM(I266:I269)</f>
        <v>23359.39</v>
      </c>
      <c r="J270" s="230">
        <f t="shared" ref="J270:R270" si="45">SUM(J266:J269)</f>
        <v>17222.089999999997</v>
      </c>
      <c r="K270" s="45">
        <f t="shared" si="45"/>
        <v>602</v>
      </c>
      <c r="L270" s="230">
        <f t="shared" si="45"/>
        <v>17282099.399999999</v>
      </c>
      <c r="M270" s="230">
        <f t="shared" si="45"/>
        <v>0</v>
      </c>
      <c r="N270" s="230">
        <f t="shared" si="45"/>
        <v>0</v>
      </c>
      <c r="O270" s="230">
        <f t="shared" si="45"/>
        <v>0</v>
      </c>
      <c r="P270" s="230">
        <f t="shared" si="45"/>
        <v>17282099.399999999</v>
      </c>
      <c r="Q270" s="230">
        <f t="shared" si="45"/>
        <v>0</v>
      </c>
      <c r="R270" s="230">
        <f t="shared" si="45"/>
        <v>0</v>
      </c>
      <c r="S270" s="144"/>
      <c r="T270" s="165"/>
      <c r="U270" s="166"/>
      <c r="V270" s="161"/>
    </row>
    <row r="271" spans="1:22" ht="9" hidden="1" customHeight="1">
      <c r="A271" s="502" t="s">
        <v>896</v>
      </c>
      <c r="B271" s="502"/>
      <c r="C271" s="502"/>
      <c r="D271" s="502"/>
      <c r="E271" s="502"/>
      <c r="F271" s="502"/>
      <c r="G271" s="502"/>
      <c r="H271" s="502"/>
      <c r="I271" s="502"/>
      <c r="J271" s="502"/>
      <c r="K271" s="502"/>
      <c r="L271" s="502"/>
      <c r="M271" s="502"/>
      <c r="N271" s="502"/>
      <c r="O271" s="502"/>
      <c r="P271" s="502"/>
      <c r="Q271" s="502"/>
      <c r="R271" s="502"/>
      <c r="S271" s="502"/>
      <c r="T271" s="162"/>
      <c r="U271" s="162"/>
      <c r="V271" s="161"/>
    </row>
    <row r="272" spans="1:22" ht="9" hidden="1" customHeight="1">
      <c r="A272" s="90">
        <v>223</v>
      </c>
      <c r="B272" s="142" t="s">
        <v>897</v>
      </c>
      <c r="C272" s="46" t="s">
        <v>1126</v>
      </c>
      <c r="D272" s="119" t="s">
        <v>1125</v>
      </c>
      <c r="E272" s="145" t="s">
        <v>610</v>
      </c>
      <c r="F272" s="145" t="s">
        <v>87</v>
      </c>
      <c r="G272" s="44">
        <v>2</v>
      </c>
      <c r="H272" s="44">
        <v>2</v>
      </c>
      <c r="I272" s="144">
        <v>535.29999999999995</v>
      </c>
      <c r="J272" s="144">
        <v>447.6</v>
      </c>
      <c r="K272" s="44">
        <v>12</v>
      </c>
      <c r="L272" s="117">
        <f>'Приложение 2 КСП 2018-2019 гг'!G274</f>
        <v>1514244.69</v>
      </c>
      <c r="M272" s="230">
        <v>0</v>
      </c>
      <c r="N272" s="230">
        <v>0</v>
      </c>
      <c r="O272" s="230">
        <v>0</v>
      </c>
      <c r="P272" s="230">
        <f t="shared" ref="P272" si="46">L272</f>
        <v>1514244.69</v>
      </c>
      <c r="Q272" s="144">
        <v>0</v>
      </c>
      <c r="R272" s="144">
        <v>0</v>
      </c>
      <c r="S272" s="46" t="s">
        <v>585</v>
      </c>
      <c r="T272" s="41"/>
      <c r="U272" s="42"/>
      <c r="V272" s="161"/>
    </row>
    <row r="273" spans="1:22" ht="35.25" hidden="1" customHeight="1">
      <c r="A273" s="607" t="s">
        <v>898</v>
      </c>
      <c r="B273" s="607"/>
      <c r="C273" s="94"/>
      <c r="D273" s="90"/>
      <c r="E273" s="145" t="s">
        <v>387</v>
      </c>
      <c r="F273" s="145" t="s">
        <v>387</v>
      </c>
      <c r="G273" s="145" t="s">
        <v>387</v>
      </c>
      <c r="H273" s="145" t="s">
        <v>387</v>
      </c>
      <c r="I273" s="230">
        <f>SUM(I272)</f>
        <v>535.29999999999995</v>
      </c>
      <c r="J273" s="230">
        <f t="shared" ref="J273:R273" si="47">SUM(J272)</f>
        <v>447.6</v>
      </c>
      <c r="K273" s="45">
        <f t="shared" si="47"/>
        <v>12</v>
      </c>
      <c r="L273" s="230">
        <f t="shared" si="47"/>
        <v>1514244.69</v>
      </c>
      <c r="M273" s="230">
        <f t="shared" si="47"/>
        <v>0</v>
      </c>
      <c r="N273" s="230">
        <f t="shared" si="47"/>
        <v>0</v>
      </c>
      <c r="O273" s="230">
        <f t="shared" si="47"/>
        <v>0</v>
      </c>
      <c r="P273" s="230">
        <f t="shared" si="47"/>
        <v>1514244.69</v>
      </c>
      <c r="Q273" s="230">
        <f t="shared" si="47"/>
        <v>0</v>
      </c>
      <c r="R273" s="230">
        <f t="shared" si="47"/>
        <v>0</v>
      </c>
      <c r="S273" s="144"/>
      <c r="T273" s="165"/>
      <c r="U273" s="166"/>
      <c r="V273" s="161"/>
    </row>
    <row r="274" spans="1:22" ht="9" hidden="1" customHeight="1">
      <c r="A274" s="502" t="s">
        <v>423</v>
      </c>
      <c r="B274" s="502"/>
      <c r="C274" s="502"/>
      <c r="D274" s="502"/>
      <c r="E274" s="502"/>
      <c r="F274" s="502"/>
      <c r="G274" s="502"/>
      <c r="H274" s="502"/>
      <c r="I274" s="502"/>
      <c r="J274" s="502"/>
      <c r="K274" s="502"/>
      <c r="L274" s="502"/>
      <c r="M274" s="502"/>
      <c r="N274" s="502"/>
      <c r="O274" s="502"/>
      <c r="P274" s="502"/>
      <c r="Q274" s="502"/>
      <c r="R274" s="502"/>
      <c r="S274" s="502"/>
      <c r="T274" s="162"/>
      <c r="U274" s="162"/>
      <c r="V274" s="161"/>
    </row>
    <row r="275" spans="1:22" ht="9" hidden="1" customHeight="1">
      <c r="A275" s="145">
        <v>224</v>
      </c>
      <c r="B275" s="68" t="s">
        <v>900</v>
      </c>
      <c r="C275" s="46" t="s">
        <v>1126</v>
      </c>
      <c r="D275" s="119" t="s">
        <v>1125</v>
      </c>
      <c r="E275" s="145" t="s">
        <v>744</v>
      </c>
      <c r="F275" s="145" t="s">
        <v>87</v>
      </c>
      <c r="G275" s="44">
        <v>2</v>
      </c>
      <c r="H275" s="44">
        <v>2</v>
      </c>
      <c r="I275" s="144">
        <v>846.5</v>
      </c>
      <c r="J275" s="144">
        <v>557.29999999999995</v>
      </c>
      <c r="K275" s="44">
        <v>14</v>
      </c>
      <c r="L275" s="117">
        <f>'Приложение 2 КСП 2018-2019 гг'!G277</f>
        <v>2150384.1800000002</v>
      </c>
      <c r="M275" s="230">
        <v>0</v>
      </c>
      <c r="N275" s="230">
        <v>0</v>
      </c>
      <c r="O275" s="230">
        <v>0</v>
      </c>
      <c r="P275" s="230">
        <f t="shared" ref="P275" si="48">L275</f>
        <v>2150384.1800000002</v>
      </c>
      <c r="Q275" s="144">
        <v>0</v>
      </c>
      <c r="R275" s="144">
        <v>0</v>
      </c>
      <c r="S275" s="46" t="s">
        <v>585</v>
      </c>
      <c r="T275" s="41"/>
      <c r="U275" s="42"/>
      <c r="V275" s="161"/>
    </row>
    <row r="276" spans="1:22" ht="9" hidden="1" customHeight="1">
      <c r="A276" s="145">
        <v>225</v>
      </c>
      <c r="B276" s="68" t="s">
        <v>901</v>
      </c>
      <c r="C276" s="46" t="s">
        <v>1126</v>
      </c>
      <c r="D276" s="119" t="s">
        <v>1125</v>
      </c>
      <c r="E276" s="145" t="s">
        <v>609</v>
      </c>
      <c r="F276" s="145" t="s">
        <v>87</v>
      </c>
      <c r="G276" s="44">
        <v>2</v>
      </c>
      <c r="H276" s="44">
        <v>1</v>
      </c>
      <c r="I276" s="144">
        <v>329.8</v>
      </c>
      <c r="J276" s="144">
        <v>301.8</v>
      </c>
      <c r="K276" s="44">
        <v>309</v>
      </c>
      <c r="L276" s="117">
        <f>'Приложение 2 КСП 2018-2019 гг'!G278</f>
        <v>1202264.1000000001</v>
      </c>
      <c r="M276" s="230">
        <v>0</v>
      </c>
      <c r="N276" s="230">
        <v>0</v>
      </c>
      <c r="O276" s="230">
        <v>0</v>
      </c>
      <c r="P276" s="230">
        <f t="shared" ref="P276:P280" si="49">L276</f>
        <v>1202264.1000000001</v>
      </c>
      <c r="Q276" s="144">
        <v>0</v>
      </c>
      <c r="R276" s="144">
        <v>0</v>
      </c>
      <c r="S276" s="46" t="s">
        <v>585</v>
      </c>
      <c r="T276" s="41"/>
      <c r="U276" s="42"/>
      <c r="V276" s="161"/>
    </row>
    <row r="277" spans="1:22" ht="9" hidden="1" customHeight="1">
      <c r="A277" s="339">
        <v>226</v>
      </c>
      <c r="B277" s="68" t="s">
        <v>902</v>
      </c>
      <c r="C277" s="46" t="s">
        <v>1126</v>
      </c>
      <c r="D277" s="119" t="s">
        <v>1125</v>
      </c>
      <c r="E277" s="145" t="s">
        <v>609</v>
      </c>
      <c r="F277" s="145" t="s">
        <v>87</v>
      </c>
      <c r="G277" s="44">
        <v>2</v>
      </c>
      <c r="H277" s="44">
        <v>2</v>
      </c>
      <c r="I277" s="144">
        <v>512.70000000000005</v>
      </c>
      <c r="J277" s="144">
        <v>473.3</v>
      </c>
      <c r="K277" s="44">
        <v>21</v>
      </c>
      <c r="L277" s="117">
        <f>'Приложение 2 КСП 2018-2019 гг'!G279</f>
        <v>1779660.12</v>
      </c>
      <c r="M277" s="230">
        <v>0</v>
      </c>
      <c r="N277" s="230">
        <v>0</v>
      </c>
      <c r="O277" s="230">
        <v>0</v>
      </c>
      <c r="P277" s="230">
        <f t="shared" si="49"/>
        <v>1779660.12</v>
      </c>
      <c r="Q277" s="144">
        <v>0</v>
      </c>
      <c r="R277" s="144">
        <v>0</v>
      </c>
      <c r="S277" s="46" t="s">
        <v>585</v>
      </c>
      <c r="T277" s="41"/>
      <c r="U277" s="42"/>
      <c r="V277" s="161"/>
    </row>
    <row r="278" spans="1:22" ht="9" hidden="1" customHeight="1">
      <c r="A278" s="339">
        <v>227</v>
      </c>
      <c r="B278" s="68" t="s">
        <v>903</v>
      </c>
      <c r="C278" s="46" t="s">
        <v>1126</v>
      </c>
      <c r="D278" s="119" t="s">
        <v>1125</v>
      </c>
      <c r="E278" s="145" t="s">
        <v>744</v>
      </c>
      <c r="F278" s="145" t="s">
        <v>87</v>
      </c>
      <c r="G278" s="44">
        <v>2</v>
      </c>
      <c r="H278" s="44">
        <v>2</v>
      </c>
      <c r="I278" s="144">
        <v>892.8</v>
      </c>
      <c r="J278" s="144">
        <v>638.6</v>
      </c>
      <c r="K278" s="44">
        <v>20</v>
      </c>
      <c r="L278" s="117">
        <f>'Приложение 2 КСП 2018-2019 гг'!G280</f>
        <v>2010692.69</v>
      </c>
      <c r="M278" s="230">
        <v>0</v>
      </c>
      <c r="N278" s="230">
        <v>0</v>
      </c>
      <c r="O278" s="230">
        <v>0</v>
      </c>
      <c r="P278" s="230">
        <f t="shared" si="49"/>
        <v>2010692.69</v>
      </c>
      <c r="Q278" s="144">
        <v>0</v>
      </c>
      <c r="R278" s="144">
        <v>0</v>
      </c>
      <c r="S278" s="46" t="s">
        <v>585</v>
      </c>
      <c r="T278" s="41"/>
      <c r="U278" s="42"/>
      <c r="V278" s="161"/>
    </row>
    <row r="279" spans="1:22" ht="9" hidden="1" customHeight="1">
      <c r="A279" s="339">
        <v>228</v>
      </c>
      <c r="B279" s="68" t="s">
        <v>904</v>
      </c>
      <c r="C279" s="46" t="s">
        <v>1126</v>
      </c>
      <c r="D279" s="119" t="s">
        <v>1125</v>
      </c>
      <c r="E279" s="145" t="s">
        <v>599</v>
      </c>
      <c r="F279" s="145" t="s">
        <v>87</v>
      </c>
      <c r="G279" s="44">
        <v>2</v>
      </c>
      <c r="H279" s="44">
        <v>1</v>
      </c>
      <c r="I279" s="144">
        <v>286.14</v>
      </c>
      <c r="J279" s="144">
        <v>263.39999999999998</v>
      </c>
      <c r="K279" s="44">
        <v>10</v>
      </c>
      <c r="L279" s="117">
        <f>'Приложение 2 КСП 2018-2019 гг'!G281</f>
        <v>1066631.6100000001</v>
      </c>
      <c r="M279" s="230">
        <v>0</v>
      </c>
      <c r="N279" s="230">
        <v>0</v>
      </c>
      <c r="O279" s="230">
        <v>0</v>
      </c>
      <c r="P279" s="230">
        <f t="shared" si="49"/>
        <v>1066631.6100000001</v>
      </c>
      <c r="Q279" s="144">
        <v>0</v>
      </c>
      <c r="R279" s="144">
        <v>0</v>
      </c>
      <c r="S279" s="46" t="s">
        <v>585</v>
      </c>
      <c r="T279" s="41"/>
      <c r="U279" s="42"/>
      <c r="V279" s="161"/>
    </row>
    <row r="280" spans="1:22" ht="9" hidden="1" customHeight="1">
      <c r="A280" s="339">
        <v>229</v>
      </c>
      <c r="B280" s="68" t="s">
        <v>905</v>
      </c>
      <c r="C280" s="46" t="s">
        <v>1126</v>
      </c>
      <c r="D280" s="119" t="s">
        <v>1125</v>
      </c>
      <c r="E280" s="145" t="s">
        <v>591</v>
      </c>
      <c r="F280" s="145" t="s">
        <v>87</v>
      </c>
      <c r="G280" s="44">
        <v>2</v>
      </c>
      <c r="H280" s="44">
        <v>2</v>
      </c>
      <c r="I280" s="144">
        <v>420.5</v>
      </c>
      <c r="J280" s="144">
        <v>382.9</v>
      </c>
      <c r="K280" s="44">
        <v>15</v>
      </c>
      <c r="L280" s="117">
        <f>'Приложение 2 КСП 2018-2019 гг'!G282</f>
        <v>1273910.26</v>
      </c>
      <c r="M280" s="230">
        <v>0</v>
      </c>
      <c r="N280" s="230">
        <v>0</v>
      </c>
      <c r="O280" s="230">
        <v>0</v>
      </c>
      <c r="P280" s="230">
        <f t="shared" si="49"/>
        <v>1273910.26</v>
      </c>
      <c r="Q280" s="144">
        <v>0</v>
      </c>
      <c r="R280" s="144">
        <v>0</v>
      </c>
      <c r="S280" s="46" t="s">
        <v>585</v>
      </c>
      <c r="T280" s="41"/>
      <c r="U280" s="42"/>
      <c r="V280" s="161"/>
    </row>
    <row r="281" spans="1:22" ht="24" hidden="1" customHeight="1">
      <c r="A281" s="599" t="s">
        <v>424</v>
      </c>
      <c r="B281" s="599"/>
      <c r="C281" s="46"/>
      <c r="D281" s="142"/>
      <c r="E281" s="54" t="s">
        <v>387</v>
      </c>
      <c r="F281" s="54" t="s">
        <v>387</v>
      </c>
      <c r="G281" s="54" t="s">
        <v>387</v>
      </c>
      <c r="H281" s="54" t="s">
        <v>387</v>
      </c>
      <c r="I281" s="225">
        <f>SUM(I275:I280)</f>
        <v>3288.44</v>
      </c>
      <c r="J281" s="225">
        <f t="shared" ref="J281:R281" si="50">SUM(J275:J280)</f>
        <v>2617.3000000000002</v>
      </c>
      <c r="K281" s="47">
        <f t="shared" si="50"/>
        <v>389</v>
      </c>
      <c r="L281" s="225">
        <f t="shared" si="50"/>
        <v>9483542.9600000009</v>
      </c>
      <c r="M281" s="225">
        <f t="shared" si="50"/>
        <v>0</v>
      </c>
      <c r="N281" s="225">
        <f t="shared" si="50"/>
        <v>0</v>
      </c>
      <c r="O281" s="225">
        <f t="shared" si="50"/>
        <v>0</v>
      </c>
      <c r="P281" s="225">
        <f t="shared" si="50"/>
        <v>9483542.9600000009</v>
      </c>
      <c r="Q281" s="225">
        <f t="shared" si="50"/>
        <v>0</v>
      </c>
      <c r="R281" s="225">
        <f t="shared" si="50"/>
        <v>0</v>
      </c>
      <c r="S281" s="144"/>
      <c r="T281" s="143"/>
      <c r="U281" s="42"/>
      <c r="V281" s="161"/>
    </row>
    <row r="282" spans="1:22" ht="9" hidden="1" customHeight="1">
      <c r="A282" s="502" t="s">
        <v>1067</v>
      </c>
      <c r="B282" s="502"/>
      <c r="C282" s="502"/>
      <c r="D282" s="502"/>
      <c r="E282" s="502"/>
      <c r="F282" s="502"/>
      <c r="G282" s="502"/>
      <c r="H282" s="502"/>
      <c r="I282" s="502"/>
      <c r="J282" s="502"/>
      <c r="K282" s="502"/>
      <c r="L282" s="502"/>
      <c r="M282" s="502"/>
      <c r="N282" s="502"/>
      <c r="O282" s="502"/>
      <c r="P282" s="502"/>
      <c r="Q282" s="502"/>
      <c r="R282" s="502"/>
      <c r="S282" s="502"/>
      <c r="T282" s="162"/>
      <c r="U282" s="162"/>
      <c r="V282" s="161"/>
    </row>
    <row r="283" spans="1:22" ht="9" hidden="1" customHeight="1">
      <c r="A283" s="145">
        <v>230</v>
      </c>
      <c r="B283" s="68" t="s">
        <v>912</v>
      </c>
      <c r="C283" s="46" t="s">
        <v>1126</v>
      </c>
      <c r="D283" s="119" t="s">
        <v>1125</v>
      </c>
      <c r="E283" s="145" t="s">
        <v>612</v>
      </c>
      <c r="F283" s="145" t="s">
        <v>87</v>
      </c>
      <c r="G283" s="44">
        <v>2</v>
      </c>
      <c r="H283" s="44">
        <v>3</v>
      </c>
      <c r="I283" s="144">
        <v>998.9</v>
      </c>
      <c r="J283" s="144">
        <v>909.2</v>
      </c>
      <c r="K283" s="44">
        <v>34</v>
      </c>
      <c r="L283" s="117">
        <f>'Приложение 2 КСП 2018-2019 гг'!G285</f>
        <v>2707881.57</v>
      </c>
      <c r="M283" s="230">
        <v>0</v>
      </c>
      <c r="N283" s="230">
        <v>0</v>
      </c>
      <c r="O283" s="230">
        <v>0</v>
      </c>
      <c r="P283" s="230">
        <f t="shared" ref="P283:P285" si="51">L283</f>
        <v>2707881.57</v>
      </c>
      <c r="Q283" s="144">
        <v>0</v>
      </c>
      <c r="R283" s="144">
        <v>0</v>
      </c>
      <c r="S283" s="46" t="s">
        <v>585</v>
      </c>
      <c r="T283" s="41"/>
      <c r="U283" s="42"/>
      <c r="V283" s="161"/>
    </row>
    <row r="284" spans="1:22" ht="9" hidden="1" customHeight="1">
      <c r="A284" s="145">
        <v>231</v>
      </c>
      <c r="B284" s="68" t="s">
        <v>913</v>
      </c>
      <c r="C284" s="46" t="s">
        <v>1126</v>
      </c>
      <c r="D284" s="119" t="s">
        <v>1125</v>
      </c>
      <c r="E284" s="145" t="s">
        <v>602</v>
      </c>
      <c r="F284" s="145" t="s">
        <v>87</v>
      </c>
      <c r="G284" s="44">
        <v>2</v>
      </c>
      <c r="H284" s="44">
        <v>2</v>
      </c>
      <c r="I284" s="144">
        <v>529.70000000000005</v>
      </c>
      <c r="J284" s="144">
        <f>444.5+117.9</f>
        <v>562.4</v>
      </c>
      <c r="K284" s="44">
        <v>25</v>
      </c>
      <c r="L284" s="117">
        <f>'Приложение 2 КСП 2018-2019 гг'!G286</f>
        <v>1670706.42</v>
      </c>
      <c r="M284" s="230">
        <v>0</v>
      </c>
      <c r="N284" s="230">
        <v>0</v>
      </c>
      <c r="O284" s="230">
        <v>0</v>
      </c>
      <c r="P284" s="230">
        <f t="shared" si="51"/>
        <v>1670706.42</v>
      </c>
      <c r="Q284" s="144">
        <v>0</v>
      </c>
      <c r="R284" s="144">
        <v>0</v>
      </c>
      <c r="S284" s="46" t="s">
        <v>585</v>
      </c>
      <c r="T284" s="41"/>
      <c r="U284" s="42"/>
      <c r="V284" s="161"/>
    </row>
    <row r="285" spans="1:22" ht="9" hidden="1" customHeight="1">
      <c r="A285" s="145">
        <v>232</v>
      </c>
      <c r="B285" s="68" t="s">
        <v>914</v>
      </c>
      <c r="C285" s="46" t="s">
        <v>1126</v>
      </c>
      <c r="D285" s="119" t="s">
        <v>1125</v>
      </c>
      <c r="E285" s="145" t="s">
        <v>602</v>
      </c>
      <c r="F285" s="145" t="s">
        <v>87</v>
      </c>
      <c r="G285" s="44">
        <v>2</v>
      </c>
      <c r="H285" s="44">
        <v>2</v>
      </c>
      <c r="I285" s="144">
        <v>669.1</v>
      </c>
      <c r="J285" s="144">
        <v>626.20000000000005</v>
      </c>
      <c r="K285" s="44">
        <v>28</v>
      </c>
      <c r="L285" s="117">
        <f>'Приложение 2 КСП 2018-2019 гг'!G287</f>
        <v>1877508.13</v>
      </c>
      <c r="M285" s="230">
        <v>0</v>
      </c>
      <c r="N285" s="230">
        <v>0</v>
      </c>
      <c r="O285" s="230">
        <v>0</v>
      </c>
      <c r="P285" s="230">
        <f t="shared" si="51"/>
        <v>1877508.13</v>
      </c>
      <c r="Q285" s="144">
        <v>0</v>
      </c>
      <c r="R285" s="144">
        <v>0</v>
      </c>
      <c r="S285" s="46" t="s">
        <v>585</v>
      </c>
      <c r="T285" s="41"/>
      <c r="U285" s="42"/>
      <c r="V285" s="161"/>
    </row>
    <row r="286" spans="1:22" ht="35.25" hidden="1" customHeight="1">
      <c r="A286" s="599" t="s">
        <v>996</v>
      </c>
      <c r="B286" s="599"/>
      <c r="C286" s="46"/>
      <c r="D286" s="142"/>
      <c r="E286" s="54" t="s">
        <v>387</v>
      </c>
      <c r="F286" s="54" t="s">
        <v>387</v>
      </c>
      <c r="G286" s="54" t="s">
        <v>387</v>
      </c>
      <c r="H286" s="54" t="s">
        <v>387</v>
      </c>
      <c r="I286" s="225">
        <f>SUM(I283:I285)</f>
        <v>2197.6999999999998</v>
      </c>
      <c r="J286" s="225">
        <f t="shared" ref="J286:R286" si="52">SUM(J283:J285)</f>
        <v>2097.8000000000002</v>
      </c>
      <c r="K286" s="47">
        <f t="shared" si="52"/>
        <v>87</v>
      </c>
      <c r="L286" s="225">
        <f t="shared" si="52"/>
        <v>6256096.1200000001</v>
      </c>
      <c r="M286" s="225">
        <f t="shared" si="52"/>
        <v>0</v>
      </c>
      <c r="N286" s="225">
        <f t="shared" si="52"/>
        <v>0</v>
      </c>
      <c r="O286" s="225">
        <f t="shared" si="52"/>
        <v>0</v>
      </c>
      <c r="P286" s="225">
        <f t="shared" si="52"/>
        <v>6256096.1200000001</v>
      </c>
      <c r="Q286" s="225">
        <f t="shared" si="52"/>
        <v>0</v>
      </c>
      <c r="R286" s="225">
        <f t="shared" si="52"/>
        <v>0</v>
      </c>
      <c r="S286" s="144"/>
      <c r="T286" s="143"/>
      <c r="U286" s="42"/>
      <c r="V286" s="161"/>
    </row>
    <row r="287" spans="1:22" ht="9" hidden="1" customHeight="1">
      <c r="A287" s="502" t="s">
        <v>421</v>
      </c>
      <c r="B287" s="502"/>
      <c r="C287" s="502"/>
      <c r="D287" s="502"/>
      <c r="E287" s="502"/>
      <c r="F287" s="502"/>
      <c r="G287" s="502"/>
      <c r="H287" s="502"/>
      <c r="I287" s="502"/>
      <c r="J287" s="502"/>
      <c r="K287" s="502"/>
      <c r="L287" s="502"/>
      <c r="M287" s="502"/>
      <c r="N287" s="502"/>
      <c r="O287" s="502"/>
      <c r="P287" s="502"/>
      <c r="Q287" s="502"/>
      <c r="R287" s="502"/>
      <c r="S287" s="502"/>
      <c r="T287" s="162"/>
      <c r="U287" s="162"/>
      <c r="V287" s="161"/>
    </row>
    <row r="288" spans="1:22" ht="9" hidden="1" customHeight="1">
      <c r="A288" s="145">
        <v>233</v>
      </c>
      <c r="B288" s="68" t="s">
        <v>917</v>
      </c>
      <c r="C288" s="46" t="s">
        <v>1126</v>
      </c>
      <c r="D288" s="119" t="s">
        <v>1125</v>
      </c>
      <c r="E288" s="145" t="s">
        <v>594</v>
      </c>
      <c r="F288" s="145" t="s">
        <v>87</v>
      </c>
      <c r="G288" s="44">
        <v>2</v>
      </c>
      <c r="H288" s="44">
        <v>1</v>
      </c>
      <c r="I288" s="144">
        <v>390</v>
      </c>
      <c r="J288" s="144">
        <v>365</v>
      </c>
      <c r="K288" s="44">
        <v>12</v>
      </c>
      <c r="L288" s="117">
        <f>'Приложение 2 КСП 2018-2019 гг'!G290</f>
        <v>1293125.78</v>
      </c>
      <c r="M288" s="230">
        <v>0</v>
      </c>
      <c r="N288" s="230">
        <v>0</v>
      </c>
      <c r="O288" s="230">
        <v>0</v>
      </c>
      <c r="P288" s="230">
        <f t="shared" ref="P288" si="53">L288</f>
        <v>1293125.78</v>
      </c>
      <c r="Q288" s="144">
        <v>0</v>
      </c>
      <c r="R288" s="144">
        <v>0</v>
      </c>
      <c r="S288" s="46" t="s">
        <v>585</v>
      </c>
      <c r="T288" s="41"/>
      <c r="U288" s="42"/>
      <c r="V288" s="161"/>
    </row>
    <row r="289" spans="1:22" ht="30.75" hidden="1" customHeight="1">
      <c r="A289" s="599" t="s">
        <v>420</v>
      </c>
      <c r="B289" s="599"/>
      <c r="C289" s="46"/>
      <c r="D289" s="142"/>
      <c r="E289" s="54" t="s">
        <v>387</v>
      </c>
      <c r="F289" s="54" t="s">
        <v>387</v>
      </c>
      <c r="G289" s="54" t="s">
        <v>387</v>
      </c>
      <c r="H289" s="54" t="s">
        <v>387</v>
      </c>
      <c r="I289" s="225">
        <f>SUM(I288)</f>
        <v>390</v>
      </c>
      <c r="J289" s="225">
        <f t="shared" ref="J289:R289" si="54">SUM(J288)</f>
        <v>365</v>
      </c>
      <c r="K289" s="47">
        <f t="shared" si="54"/>
        <v>12</v>
      </c>
      <c r="L289" s="225">
        <f t="shared" si="54"/>
        <v>1293125.78</v>
      </c>
      <c r="M289" s="225">
        <f t="shared" si="54"/>
        <v>0</v>
      </c>
      <c r="N289" s="225">
        <f t="shared" si="54"/>
        <v>0</v>
      </c>
      <c r="O289" s="225">
        <f t="shared" si="54"/>
        <v>0</v>
      </c>
      <c r="P289" s="225">
        <f t="shared" si="54"/>
        <v>1293125.78</v>
      </c>
      <c r="Q289" s="225">
        <f t="shared" si="54"/>
        <v>0</v>
      </c>
      <c r="R289" s="225">
        <f t="shared" si="54"/>
        <v>0</v>
      </c>
      <c r="S289" s="144"/>
      <c r="T289" s="41"/>
      <c r="U289" s="41"/>
      <c r="V289" s="161"/>
    </row>
    <row r="290" spans="1:22" ht="9" hidden="1" customHeight="1">
      <c r="A290" s="502" t="s">
        <v>349</v>
      </c>
      <c r="B290" s="502"/>
      <c r="C290" s="502"/>
      <c r="D290" s="502"/>
      <c r="E290" s="502"/>
      <c r="F290" s="502"/>
      <c r="G290" s="502"/>
      <c r="H290" s="502"/>
      <c r="I290" s="502"/>
      <c r="J290" s="502"/>
      <c r="K290" s="502"/>
      <c r="L290" s="502"/>
      <c r="M290" s="502"/>
      <c r="N290" s="502"/>
      <c r="O290" s="502"/>
      <c r="P290" s="502"/>
      <c r="Q290" s="502"/>
      <c r="R290" s="502"/>
      <c r="S290" s="502"/>
      <c r="T290" s="162"/>
      <c r="U290" s="162"/>
      <c r="V290" s="161"/>
    </row>
    <row r="291" spans="1:22" ht="9" hidden="1" customHeight="1">
      <c r="A291" s="145">
        <v>234</v>
      </c>
      <c r="B291" s="68" t="s">
        <v>919</v>
      </c>
      <c r="C291" s="46" t="s">
        <v>1126</v>
      </c>
      <c r="D291" s="119" t="s">
        <v>1125</v>
      </c>
      <c r="E291" s="145" t="s">
        <v>590</v>
      </c>
      <c r="F291" s="145" t="s">
        <v>89</v>
      </c>
      <c r="G291" s="44">
        <v>2</v>
      </c>
      <c r="H291" s="44">
        <v>2</v>
      </c>
      <c r="I291" s="144">
        <v>621.23</v>
      </c>
      <c r="J291" s="144">
        <v>590.04</v>
      </c>
      <c r="K291" s="144">
        <v>19</v>
      </c>
      <c r="L291" s="117">
        <f>'Приложение 2 КСП 2018-2019 гг'!G293</f>
        <v>1803470.32</v>
      </c>
      <c r="M291" s="230">
        <v>0</v>
      </c>
      <c r="N291" s="230">
        <v>0</v>
      </c>
      <c r="O291" s="230">
        <v>0</v>
      </c>
      <c r="P291" s="230">
        <f t="shared" ref="P291" si="55">L291</f>
        <v>1803470.32</v>
      </c>
      <c r="Q291" s="144">
        <v>0</v>
      </c>
      <c r="R291" s="144">
        <v>0</v>
      </c>
      <c r="S291" s="46" t="s">
        <v>585</v>
      </c>
      <c r="T291" s="41"/>
      <c r="U291" s="42"/>
      <c r="V291" s="161"/>
    </row>
    <row r="292" spans="1:22" ht="25.5" hidden="1" customHeight="1">
      <c r="A292" s="599" t="s">
        <v>348</v>
      </c>
      <c r="B292" s="599"/>
      <c r="C292" s="46"/>
      <c r="D292" s="142"/>
      <c r="E292" s="54" t="s">
        <v>387</v>
      </c>
      <c r="F292" s="54" t="s">
        <v>387</v>
      </c>
      <c r="G292" s="54" t="s">
        <v>387</v>
      </c>
      <c r="H292" s="54" t="s">
        <v>387</v>
      </c>
      <c r="I292" s="225">
        <f>SUM(I291)</f>
        <v>621.23</v>
      </c>
      <c r="J292" s="225">
        <f t="shared" ref="J292:R292" si="56">SUM(J291)</f>
        <v>590.04</v>
      </c>
      <c r="K292" s="47">
        <f t="shared" si="56"/>
        <v>19</v>
      </c>
      <c r="L292" s="225">
        <f t="shared" si="56"/>
        <v>1803470.32</v>
      </c>
      <c r="M292" s="225">
        <f t="shared" si="56"/>
        <v>0</v>
      </c>
      <c r="N292" s="225">
        <f t="shared" si="56"/>
        <v>0</v>
      </c>
      <c r="O292" s="225">
        <f t="shared" si="56"/>
        <v>0</v>
      </c>
      <c r="P292" s="225">
        <f t="shared" si="56"/>
        <v>1803470.32</v>
      </c>
      <c r="Q292" s="225">
        <f t="shared" si="56"/>
        <v>0</v>
      </c>
      <c r="R292" s="225">
        <f t="shared" si="56"/>
        <v>0</v>
      </c>
      <c r="S292" s="144"/>
      <c r="T292" s="41"/>
      <c r="U292" s="42"/>
      <c r="V292" s="161"/>
    </row>
    <row r="293" spans="1:22" ht="9" hidden="1" customHeight="1">
      <c r="A293" s="502" t="s">
        <v>429</v>
      </c>
      <c r="B293" s="502"/>
      <c r="C293" s="502"/>
      <c r="D293" s="502"/>
      <c r="E293" s="502"/>
      <c r="F293" s="502"/>
      <c r="G293" s="502"/>
      <c r="H293" s="502"/>
      <c r="I293" s="502"/>
      <c r="J293" s="502"/>
      <c r="K293" s="502"/>
      <c r="L293" s="502"/>
      <c r="M293" s="502"/>
      <c r="N293" s="502"/>
      <c r="O293" s="502"/>
      <c r="P293" s="502"/>
      <c r="Q293" s="502"/>
      <c r="R293" s="502"/>
      <c r="S293" s="502"/>
      <c r="T293" s="162"/>
      <c r="U293" s="162"/>
      <c r="V293" s="161"/>
    </row>
    <row r="294" spans="1:22" ht="9" hidden="1" customHeight="1">
      <c r="A294" s="96">
        <v>235</v>
      </c>
      <c r="B294" s="148" t="s">
        <v>925</v>
      </c>
      <c r="C294" s="100" t="s">
        <v>1126</v>
      </c>
      <c r="D294" s="119" t="s">
        <v>1125</v>
      </c>
      <c r="E294" s="96" t="s">
        <v>613</v>
      </c>
      <c r="F294" s="96" t="s">
        <v>89</v>
      </c>
      <c r="G294" s="131">
        <v>2</v>
      </c>
      <c r="H294" s="131">
        <v>3</v>
      </c>
      <c r="I294" s="130">
        <v>1537.6</v>
      </c>
      <c r="J294" s="130">
        <v>923.2</v>
      </c>
      <c r="K294" s="131">
        <v>26</v>
      </c>
      <c r="L294" s="117">
        <f>'Приложение 2 КСП 2018-2019 гг'!G296</f>
        <v>279775.76</v>
      </c>
      <c r="M294" s="230">
        <v>0</v>
      </c>
      <c r="N294" s="230">
        <v>0</v>
      </c>
      <c r="O294" s="230">
        <v>0</v>
      </c>
      <c r="P294" s="230">
        <f t="shared" ref="P294" si="57">L294</f>
        <v>279775.76</v>
      </c>
      <c r="Q294" s="144">
        <v>0</v>
      </c>
      <c r="R294" s="144">
        <v>0</v>
      </c>
      <c r="S294" s="46" t="s">
        <v>585</v>
      </c>
      <c r="T294" s="41"/>
      <c r="U294" s="42"/>
      <c r="V294" s="161"/>
    </row>
    <row r="295" spans="1:22" ht="9" hidden="1" customHeight="1">
      <c r="A295" s="96">
        <v>236</v>
      </c>
      <c r="B295" s="148" t="s">
        <v>926</v>
      </c>
      <c r="C295" s="100" t="s">
        <v>1126</v>
      </c>
      <c r="D295" s="119" t="s">
        <v>1125</v>
      </c>
      <c r="E295" s="96" t="s">
        <v>603</v>
      </c>
      <c r="F295" s="96" t="s">
        <v>89</v>
      </c>
      <c r="G295" s="131">
        <v>2</v>
      </c>
      <c r="H295" s="131">
        <v>3</v>
      </c>
      <c r="I295" s="130">
        <v>1005.2</v>
      </c>
      <c r="J295" s="96">
        <v>918.48</v>
      </c>
      <c r="K295" s="131">
        <v>42</v>
      </c>
      <c r="L295" s="117">
        <f>'Приложение 2 КСП 2018-2019 гг'!G297</f>
        <v>278345.36</v>
      </c>
      <c r="M295" s="230">
        <v>0</v>
      </c>
      <c r="N295" s="230">
        <v>0</v>
      </c>
      <c r="O295" s="230">
        <v>0</v>
      </c>
      <c r="P295" s="230">
        <f t="shared" ref="P295:P296" si="58">L295</f>
        <v>278345.36</v>
      </c>
      <c r="Q295" s="144">
        <v>0</v>
      </c>
      <c r="R295" s="144">
        <v>0</v>
      </c>
      <c r="S295" s="46" t="s">
        <v>585</v>
      </c>
      <c r="T295" s="41"/>
      <c r="U295" s="42"/>
      <c r="V295" s="161"/>
    </row>
    <row r="296" spans="1:22" ht="9" hidden="1" customHeight="1">
      <c r="A296" s="96">
        <v>237</v>
      </c>
      <c r="B296" s="148" t="s">
        <v>927</v>
      </c>
      <c r="C296" s="100" t="s">
        <v>1126</v>
      </c>
      <c r="D296" s="119" t="s">
        <v>1125</v>
      </c>
      <c r="E296" s="96" t="s">
        <v>928</v>
      </c>
      <c r="F296" s="96" t="s">
        <v>87</v>
      </c>
      <c r="G296" s="131">
        <v>2</v>
      </c>
      <c r="H296" s="131">
        <v>2</v>
      </c>
      <c r="I296" s="130">
        <v>779.5</v>
      </c>
      <c r="J296" s="130">
        <v>724.7</v>
      </c>
      <c r="K296" s="96">
        <v>38</v>
      </c>
      <c r="L296" s="117">
        <f>'Приложение 2 КСП 2018-2019 гг'!G298</f>
        <v>234012.88</v>
      </c>
      <c r="M296" s="230">
        <v>0</v>
      </c>
      <c r="N296" s="230">
        <v>0</v>
      </c>
      <c r="O296" s="230">
        <v>0</v>
      </c>
      <c r="P296" s="230">
        <f t="shared" si="58"/>
        <v>234012.88</v>
      </c>
      <c r="Q296" s="144">
        <v>0</v>
      </c>
      <c r="R296" s="144">
        <v>0</v>
      </c>
      <c r="S296" s="46" t="s">
        <v>585</v>
      </c>
      <c r="T296" s="167"/>
      <c r="U296" s="42"/>
      <c r="V296" s="161"/>
    </row>
    <row r="297" spans="1:22" ht="36" hidden="1" customHeight="1">
      <c r="A297" s="608" t="s">
        <v>430</v>
      </c>
      <c r="B297" s="608"/>
      <c r="C297" s="100"/>
      <c r="D297" s="148"/>
      <c r="E297" s="96" t="s">
        <v>387</v>
      </c>
      <c r="F297" s="96" t="s">
        <v>387</v>
      </c>
      <c r="G297" s="96" t="s">
        <v>387</v>
      </c>
      <c r="H297" s="96" t="s">
        <v>387</v>
      </c>
      <c r="I297" s="101">
        <f t="shared" ref="I297:R297" si="59">SUM(I294:I296)</f>
        <v>3322.3</v>
      </c>
      <c r="J297" s="101">
        <f t="shared" si="59"/>
        <v>2566.38</v>
      </c>
      <c r="K297" s="324">
        <f t="shared" si="59"/>
        <v>106</v>
      </c>
      <c r="L297" s="101">
        <f t="shared" si="59"/>
        <v>792134</v>
      </c>
      <c r="M297" s="101">
        <f t="shared" si="59"/>
        <v>0</v>
      </c>
      <c r="N297" s="101">
        <f t="shared" si="59"/>
        <v>0</v>
      </c>
      <c r="O297" s="101">
        <f t="shared" si="59"/>
        <v>0</v>
      </c>
      <c r="P297" s="101">
        <f t="shared" si="59"/>
        <v>792134</v>
      </c>
      <c r="Q297" s="101">
        <f t="shared" si="59"/>
        <v>0</v>
      </c>
      <c r="R297" s="101">
        <f t="shared" si="59"/>
        <v>0</v>
      </c>
      <c r="S297" s="144"/>
      <c r="T297" s="168"/>
      <c r="U297" s="169"/>
      <c r="V297" s="161"/>
    </row>
    <row r="298" spans="1:22" ht="9" hidden="1" customHeight="1">
      <c r="A298" s="504" t="s">
        <v>929</v>
      </c>
      <c r="B298" s="504"/>
      <c r="C298" s="504"/>
      <c r="D298" s="504"/>
      <c r="E298" s="504"/>
      <c r="F298" s="504"/>
      <c r="G298" s="504"/>
      <c r="H298" s="504"/>
      <c r="I298" s="504"/>
      <c r="J298" s="504"/>
      <c r="K298" s="504"/>
      <c r="L298" s="504"/>
      <c r="M298" s="504"/>
      <c r="N298" s="504"/>
      <c r="O298" s="504"/>
      <c r="P298" s="504"/>
      <c r="Q298" s="504"/>
      <c r="R298" s="504"/>
      <c r="S298" s="504"/>
      <c r="T298" s="190"/>
      <c r="U298" s="190"/>
      <c r="V298" s="161"/>
    </row>
    <row r="299" spans="1:22" ht="9" hidden="1" customHeight="1">
      <c r="A299" s="78">
        <v>238</v>
      </c>
      <c r="B299" s="147" t="s">
        <v>932</v>
      </c>
      <c r="C299" s="46" t="s">
        <v>1126</v>
      </c>
      <c r="D299" s="119" t="s">
        <v>1125</v>
      </c>
      <c r="E299" s="145" t="s">
        <v>614</v>
      </c>
      <c r="F299" s="78" t="s">
        <v>89</v>
      </c>
      <c r="G299" s="102">
        <v>2</v>
      </c>
      <c r="H299" s="102">
        <v>2</v>
      </c>
      <c r="I299" s="111">
        <v>661.2</v>
      </c>
      <c r="J299" s="111">
        <v>590.20000000000005</v>
      </c>
      <c r="K299" s="102">
        <v>24</v>
      </c>
      <c r="L299" s="117">
        <f>'Приложение 2 КСП 2018-2019 гг'!G301</f>
        <v>1532009.95</v>
      </c>
      <c r="M299" s="230">
        <v>0</v>
      </c>
      <c r="N299" s="230">
        <v>0</v>
      </c>
      <c r="O299" s="230">
        <v>0</v>
      </c>
      <c r="P299" s="230">
        <f t="shared" ref="P299" si="60">L299</f>
        <v>1532009.95</v>
      </c>
      <c r="Q299" s="144">
        <v>0</v>
      </c>
      <c r="R299" s="144">
        <v>0</v>
      </c>
      <c r="S299" s="46" t="s">
        <v>585</v>
      </c>
      <c r="T299" s="41"/>
      <c r="U299" s="42"/>
      <c r="V299" s="161"/>
    </row>
    <row r="300" spans="1:22" ht="36.75" hidden="1" customHeight="1">
      <c r="A300" s="608" t="s">
        <v>931</v>
      </c>
      <c r="B300" s="608"/>
      <c r="C300" s="100"/>
      <c r="D300" s="148"/>
      <c r="E300" s="96" t="s">
        <v>387</v>
      </c>
      <c r="F300" s="96" t="s">
        <v>387</v>
      </c>
      <c r="G300" s="96" t="s">
        <v>387</v>
      </c>
      <c r="H300" s="96" t="s">
        <v>387</v>
      </c>
      <c r="I300" s="230">
        <f>SUM(I299)</f>
        <v>661.2</v>
      </c>
      <c r="J300" s="230">
        <f t="shared" ref="J300:R300" si="61">SUM(J299)</f>
        <v>590.20000000000005</v>
      </c>
      <c r="K300" s="45">
        <f t="shared" si="61"/>
        <v>24</v>
      </c>
      <c r="L300" s="230">
        <f t="shared" si="61"/>
        <v>1532009.95</v>
      </c>
      <c r="M300" s="230">
        <f t="shared" si="61"/>
        <v>0</v>
      </c>
      <c r="N300" s="230">
        <f t="shared" si="61"/>
        <v>0</v>
      </c>
      <c r="O300" s="230">
        <f t="shared" si="61"/>
        <v>0</v>
      </c>
      <c r="P300" s="230">
        <f t="shared" si="61"/>
        <v>1532009.95</v>
      </c>
      <c r="Q300" s="230">
        <f t="shared" si="61"/>
        <v>0</v>
      </c>
      <c r="R300" s="230">
        <f t="shared" si="61"/>
        <v>0</v>
      </c>
      <c r="S300" s="101"/>
      <c r="T300" s="168"/>
      <c r="U300" s="169"/>
      <c r="V300" s="161"/>
    </row>
    <row r="301" spans="1:22" ht="9" hidden="1" customHeight="1">
      <c r="A301" s="504" t="s">
        <v>1025</v>
      </c>
      <c r="B301" s="504"/>
      <c r="C301" s="504"/>
      <c r="D301" s="504"/>
      <c r="E301" s="504"/>
      <c r="F301" s="504"/>
      <c r="G301" s="504"/>
      <c r="H301" s="504"/>
      <c r="I301" s="504"/>
      <c r="J301" s="504"/>
      <c r="K301" s="504"/>
      <c r="L301" s="504"/>
      <c r="M301" s="504"/>
      <c r="N301" s="504"/>
      <c r="O301" s="504"/>
      <c r="P301" s="504"/>
      <c r="Q301" s="504"/>
      <c r="R301" s="504"/>
      <c r="S301" s="504"/>
      <c r="T301" s="190"/>
      <c r="U301" s="190"/>
      <c r="V301" s="161"/>
    </row>
    <row r="302" spans="1:22" ht="9" hidden="1" customHeight="1">
      <c r="A302" s="148">
        <v>239</v>
      </c>
      <c r="B302" s="148" t="s">
        <v>933</v>
      </c>
      <c r="C302" s="46" t="s">
        <v>1126</v>
      </c>
      <c r="D302" s="119" t="s">
        <v>1125</v>
      </c>
      <c r="E302" s="96">
        <v>1976</v>
      </c>
      <c r="F302" s="103" t="s">
        <v>87</v>
      </c>
      <c r="G302" s="96">
        <v>2</v>
      </c>
      <c r="H302" s="96">
        <v>2</v>
      </c>
      <c r="I302" s="101">
        <v>906.4</v>
      </c>
      <c r="J302" s="101">
        <v>862.8</v>
      </c>
      <c r="K302" s="47">
        <v>46</v>
      </c>
      <c r="L302" s="117">
        <f>'Приложение 2 КСП 2018-2019 гг'!G304</f>
        <v>2073971.92</v>
      </c>
      <c r="M302" s="230">
        <v>0</v>
      </c>
      <c r="N302" s="230">
        <v>0</v>
      </c>
      <c r="O302" s="230">
        <v>0</v>
      </c>
      <c r="P302" s="230">
        <f t="shared" ref="P302:P303" si="62">L302</f>
        <v>2073971.92</v>
      </c>
      <c r="Q302" s="230">
        <v>0</v>
      </c>
      <c r="R302" s="144">
        <v>0</v>
      </c>
      <c r="S302" s="46" t="s">
        <v>585</v>
      </c>
      <c r="T302" s="41"/>
      <c r="U302" s="42"/>
      <c r="V302" s="161"/>
    </row>
    <row r="303" spans="1:22" ht="9" hidden="1" customHeight="1">
      <c r="A303" s="148">
        <v>240</v>
      </c>
      <c r="B303" s="148" t="s">
        <v>1027</v>
      </c>
      <c r="C303" s="46" t="s">
        <v>1126</v>
      </c>
      <c r="D303" s="119" t="s">
        <v>1125</v>
      </c>
      <c r="E303" s="96">
        <v>1987</v>
      </c>
      <c r="F303" s="103" t="s">
        <v>87</v>
      </c>
      <c r="G303" s="96">
        <v>5</v>
      </c>
      <c r="H303" s="96">
        <v>4</v>
      </c>
      <c r="I303" s="101">
        <v>3883.9399999999996</v>
      </c>
      <c r="J303" s="101">
        <v>2734.24</v>
      </c>
      <c r="K303" s="47">
        <v>126</v>
      </c>
      <c r="L303" s="117">
        <f>'Приложение 2 КСП 2018-2019 гг'!G305</f>
        <v>2238240.9300000002</v>
      </c>
      <c r="M303" s="230">
        <v>0</v>
      </c>
      <c r="N303" s="230">
        <v>0</v>
      </c>
      <c r="O303" s="230">
        <v>0</v>
      </c>
      <c r="P303" s="230">
        <f t="shared" si="62"/>
        <v>2238240.9300000002</v>
      </c>
      <c r="Q303" s="230">
        <v>0</v>
      </c>
      <c r="R303" s="144">
        <v>0</v>
      </c>
      <c r="S303" s="46" t="s">
        <v>585</v>
      </c>
      <c r="T303" s="41"/>
      <c r="U303" s="42"/>
      <c r="V303" s="161"/>
    </row>
    <row r="304" spans="1:22" ht="36.75" hidden="1" customHeight="1">
      <c r="A304" s="608" t="s">
        <v>1026</v>
      </c>
      <c r="B304" s="608"/>
      <c r="C304" s="100"/>
      <c r="D304" s="148"/>
      <c r="E304" s="96" t="s">
        <v>387</v>
      </c>
      <c r="F304" s="96" t="s">
        <v>387</v>
      </c>
      <c r="G304" s="96" t="s">
        <v>387</v>
      </c>
      <c r="H304" s="96" t="s">
        <v>387</v>
      </c>
      <c r="I304" s="101">
        <f>SUM(I302:I303)</f>
        <v>4790.3399999999992</v>
      </c>
      <c r="J304" s="101">
        <f t="shared" ref="J304:R304" si="63">SUM(J302:J303)</f>
        <v>3597.04</v>
      </c>
      <c r="K304" s="324">
        <f t="shared" si="63"/>
        <v>172</v>
      </c>
      <c r="L304" s="101">
        <f t="shared" si="63"/>
        <v>4312212.8499999996</v>
      </c>
      <c r="M304" s="101">
        <f t="shared" si="63"/>
        <v>0</v>
      </c>
      <c r="N304" s="101">
        <f t="shared" si="63"/>
        <v>0</v>
      </c>
      <c r="O304" s="101">
        <f t="shared" si="63"/>
        <v>0</v>
      </c>
      <c r="P304" s="101">
        <f t="shared" si="63"/>
        <v>4312212.8499999996</v>
      </c>
      <c r="Q304" s="101">
        <f t="shared" si="63"/>
        <v>0</v>
      </c>
      <c r="R304" s="101">
        <f t="shared" si="63"/>
        <v>0</v>
      </c>
      <c r="S304" s="101"/>
      <c r="T304" s="168"/>
      <c r="U304" s="169"/>
      <c r="V304" s="161"/>
    </row>
    <row r="305" spans="1:22" ht="9" hidden="1" customHeight="1">
      <c r="A305" s="507" t="s">
        <v>2</v>
      </c>
      <c r="B305" s="507"/>
      <c r="C305" s="507"/>
      <c r="D305" s="507"/>
      <c r="E305" s="507"/>
      <c r="F305" s="507"/>
      <c r="G305" s="507"/>
      <c r="H305" s="507"/>
      <c r="I305" s="507"/>
      <c r="J305" s="507"/>
      <c r="K305" s="507"/>
      <c r="L305" s="507"/>
      <c r="M305" s="507"/>
      <c r="N305" s="507"/>
      <c r="O305" s="507"/>
      <c r="P305" s="507"/>
      <c r="Q305" s="507"/>
      <c r="R305" s="507"/>
      <c r="S305" s="507"/>
      <c r="T305" s="192"/>
      <c r="U305" s="192"/>
      <c r="V305" s="161"/>
    </row>
    <row r="306" spans="1:22" ht="9" hidden="1" customHeight="1">
      <c r="A306" s="103">
        <v>241</v>
      </c>
      <c r="B306" s="104" t="s">
        <v>936</v>
      </c>
      <c r="C306" s="108" t="s">
        <v>1126</v>
      </c>
      <c r="D306" s="119" t="s">
        <v>1125</v>
      </c>
      <c r="E306" s="103" t="s">
        <v>610</v>
      </c>
      <c r="F306" s="103" t="s">
        <v>89</v>
      </c>
      <c r="G306" s="132">
        <v>2</v>
      </c>
      <c r="H306" s="132">
        <v>2</v>
      </c>
      <c r="I306" s="107">
        <v>1115.26</v>
      </c>
      <c r="J306" s="107">
        <v>577.1</v>
      </c>
      <c r="K306" s="132">
        <v>37</v>
      </c>
      <c r="L306" s="117">
        <f>'Приложение 2 КСП 2018-2019 гг'!G308</f>
        <v>1282012.1599999999</v>
      </c>
      <c r="M306" s="230">
        <v>0</v>
      </c>
      <c r="N306" s="230">
        <v>0</v>
      </c>
      <c r="O306" s="230">
        <v>0</v>
      </c>
      <c r="P306" s="230">
        <f t="shared" ref="P306:P307" si="64">L306</f>
        <v>1282012.1599999999</v>
      </c>
      <c r="Q306" s="144">
        <v>0</v>
      </c>
      <c r="R306" s="144">
        <v>0</v>
      </c>
      <c r="S306" s="46" t="s">
        <v>585</v>
      </c>
      <c r="T306" s="41"/>
      <c r="U306" s="42"/>
      <c r="V306" s="161"/>
    </row>
    <row r="307" spans="1:22" ht="9" hidden="1" customHeight="1">
      <c r="A307" s="103">
        <v>242</v>
      </c>
      <c r="B307" s="104" t="s">
        <v>937</v>
      </c>
      <c r="C307" s="108" t="s">
        <v>1126</v>
      </c>
      <c r="D307" s="119" t="s">
        <v>1125</v>
      </c>
      <c r="E307" s="103" t="s">
        <v>612</v>
      </c>
      <c r="F307" s="103" t="s">
        <v>87</v>
      </c>
      <c r="G307" s="132">
        <v>2</v>
      </c>
      <c r="H307" s="132">
        <v>3</v>
      </c>
      <c r="I307" s="107">
        <v>1965.66</v>
      </c>
      <c r="J307" s="107">
        <v>995.08</v>
      </c>
      <c r="K307" s="132">
        <v>96</v>
      </c>
      <c r="L307" s="117">
        <f>'Приложение 2 КСП 2018-2019 гг'!G309</f>
        <v>3247233.45</v>
      </c>
      <c r="M307" s="230">
        <v>0</v>
      </c>
      <c r="N307" s="230">
        <v>0</v>
      </c>
      <c r="O307" s="230">
        <v>0</v>
      </c>
      <c r="P307" s="230">
        <f t="shared" si="64"/>
        <v>3247233.45</v>
      </c>
      <c r="Q307" s="144">
        <v>0</v>
      </c>
      <c r="R307" s="144">
        <v>0</v>
      </c>
      <c r="S307" s="46" t="s">
        <v>585</v>
      </c>
      <c r="T307" s="41"/>
      <c r="U307" s="42"/>
      <c r="V307" s="161"/>
    </row>
    <row r="308" spans="1:22" ht="23.25" hidden="1" customHeight="1">
      <c r="A308" s="609" t="s">
        <v>5</v>
      </c>
      <c r="B308" s="609"/>
      <c r="C308" s="108"/>
      <c r="D308" s="149"/>
      <c r="E308" s="54" t="s">
        <v>387</v>
      </c>
      <c r="F308" s="54" t="s">
        <v>387</v>
      </c>
      <c r="G308" s="54" t="s">
        <v>387</v>
      </c>
      <c r="H308" s="54" t="s">
        <v>387</v>
      </c>
      <c r="I308" s="225">
        <f>SUM(I306:I307)</f>
        <v>3080.92</v>
      </c>
      <c r="J308" s="225">
        <f t="shared" ref="J308:R308" si="65">SUM(J306:J307)</f>
        <v>1572.18</v>
      </c>
      <c r="K308" s="47">
        <f t="shared" si="65"/>
        <v>133</v>
      </c>
      <c r="L308" s="225">
        <f t="shared" si="65"/>
        <v>4529245.6100000003</v>
      </c>
      <c r="M308" s="225">
        <f t="shared" si="65"/>
        <v>0</v>
      </c>
      <c r="N308" s="225">
        <f t="shared" si="65"/>
        <v>0</v>
      </c>
      <c r="O308" s="225">
        <f t="shared" si="65"/>
        <v>0</v>
      </c>
      <c r="P308" s="225">
        <f t="shared" si="65"/>
        <v>4529245.6100000003</v>
      </c>
      <c r="Q308" s="225">
        <f t="shared" si="65"/>
        <v>0</v>
      </c>
      <c r="R308" s="225">
        <f t="shared" si="65"/>
        <v>0</v>
      </c>
      <c r="S308" s="107"/>
      <c r="T308" s="170"/>
      <c r="U308" s="171"/>
      <c r="V308" s="161"/>
    </row>
    <row r="309" spans="1:22" ht="9" hidden="1" customHeight="1">
      <c r="A309" s="504" t="s">
        <v>8</v>
      </c>
      <c r="B309" s="504"/>
      <c r="C309" s="504"/>
      <c r="D309" s="504"/>
      <c r="E309" s="504"/>
      <c r="F309" s="504"/>
      <c r="G309" s="504"/>
      <c r="H309" s="504"/>
      <c r="I309" s="504"/>
      <c r="J309" s="504"/>
      <c r="K309" s="504"/>
      <c r="L309" s="504"/>
      <c r="M309" s="504"/>
      <c r="N309" s="504"/>
      <c r="O309" s="504"/>
      <c r="P309" s="504"/>
      <c r="Q309" s="504"/>
      <c r="R309" s="504"/>
      <c r="S309" s="504"/>
      <c r="T309" s="190"/>
      <c r="U309" s="190"/>
      <c r="V309" s="161"/>
    </row>
    <row r="310" spans="1:22" ht="9" hidden="1" customHeight="1">
      <c r="A310" s="78">
        <v>243</v>
      </c>
      <c r="B310" s="82" t="s">
        <v>939</v>
      </c>
      <c r="C310" s="86" t="s">
        <v>1126</v>
      </c>
      <c r="D310" s="119" t="s">
        <v>1125</v>
      </c>
      <c r="E310" s="78" t="s">
        <v>602</v>
      </c>
      <c r="F310" s="103" t="s">
        <v>87</v>
      </c>
      <c r="G310" s="102">
        <v>2</v>
      </c>
      <c r="H310" s="102">
        <v>2</v>
      </c>
      <c r="I310" s="79">
        <v>1084.0999999999999</v>
      </c>
      <c r="J310" s="79">
        <v>615.70000000000005</v>
      </c>
      <c r="K310" s="102">
        <v>27</v>
      </c>
      <c r="L310" s="117">
        <f>'Приложение 2 КСП 2018-2019 гг'!G312</f>
        <v>2282071.91</v>
      </c>
      <c r="M310" s="230">
        <v>0</v>
      </c>
      <c r="N310" s="230">
        <v>0</v>
      </c>
      <c r="O310" s="230">
        <v>0</v>
      </c>
      <c r="P310" s="230">
        <f t="shared" ref="P310:P311" si="66">L310</f>
        <v>2282071.91</v>
      </c>
      <c r="Q310" s="144">
        <v>0</v>
      </c>
      <c r="R310" s="144">
        <v>0</v>
      </c>
      <c r="S310" s="46" t="s">
        <v>585</v>
      </c>
      <c r="T310" s="41"/>
      <c r="U310" s="42"/>
      <c r="V310" s="161"/>
    </row>
    <row r="311" spans="1:22" ht="9" hidden="1" customHeight="1">
      <c r="A311" s="78">
        <v>244</v>
      </c>
      <c r="B311" s="82" t="s">
        <v>940</v>
      </c>
      <c r="C311" s="86" t="s">
        <v>1126</v>
      </c>
      <c r="D311" s="119" t="s">
        <v>1125</v>
      </c>
      <c r="E311" s="78" t="s">
        <v>105</v>
      </c>
      <c r="F311" s="103" t="s">
        <v>87</v>
      </c>
      <c r="G311" s="102">
        <v>2</v>
      </c>
      <c r="H311" s="102">
        <v>2</v>
      </c>
      <c r="I311" s="79">
        <v>1116.5</v>
      </c>
      <c r="J311" s="79">
        <v>648.1</v>
      </c>
      <c r="K311" s="102">
        <v>31</v>
      </c>
      <c r="L311" s="117">
        <f>'Приложение 2 КСП 2018-2019 гг'!G313</f>
        <v>1971329.66</v>
      </c>
      <c r="M311" s="230">
        <v>0</v>
      </c>
      <c r="N311" s="230">
        <v>0</v>
      </c>
      <c r="O311" s="230">
        <v>0</v>
      </c>
      <c r="P311" s="230">
        <f t="shared" si="66"/>
        <v>1971329.66</v>
      </c>
      <c r="Q311" s="144">
        <v>0</v>
      </c>
      <c r="R311" s="144">
        <v>0</v>
      </c>
      <c r="S311" s="46" t="s">
        <v>585</v>
      </c>
      <c r="T311" s="41"/>
      <c r="U311" s="42"/>
      <c r="V311" s="161"/>
    </row>
    <row r="312" spans="1:22" ht="24.75" hidden="1" customHeight="1">
      <c r="A312" s="606" t="s">
        <v>9</v>
      </c>
      <c r="B312" s="606"/>
      <c r="C312" s="86"/>
      <c r="D312" s="147"/>
      <c r="E312" s="54" t="s">
        <v>387</v>
      </c>
      <c r="F312" s="54" t="s">
        <v>387</v>
      </c>
      <c r="G312" s="54" t="s">
        <v>387</v>
      </c>
      <c r="H312" s="54" t="s">
        <v>387</v>
      </c>
      <c r="I312" s="225">
        <f>SUM(I310:I311)</f>
        <v>2200.6</v>
      </c>
      <c r="J312" s="225">
        <f t="shared" ref="J312:R312" si="67">SUM(J310:J311)</f>
        <v>1263.8000000000002</v>
      </c>
      <c r="K312" s="47">
        <f t="shared" si="67"/>
        <v>58</v>
      </c>
      <c r="L312" s="225">
        <f t="shared" si="67"/>
        <v>4253401.57</v>
      </c>
      <c r="M312" s="225">
        <f t="shared" si="67"/>
        <v>0</v>
      </c>
      <c r="N312" s="225">
        <f t="shared" si="67"/>
        <v>0</v>
      </c>
      <c r="O312" s="225">
        <f t="shared" si="67"/>
        <v>0</v>
      </c>
      <c r="P312" s="225">
        <f t="shared" si="67"/>
        <v>4253401.57</v>
      </c>
      <c r="Q312" s="225">
        <f t="shared" si="67"/>
        <v>0</v>
      </c>
      <c r="R312" s="225">
        <f t="shared" si="67"/>
        <v>0</v>
      </c>
      <c r="S312" s="144"/>
      <c r="T312" s="163"/>
      <c r="U312" s="172"/>
      <c r="V312" s="161"/>
    </row>
    <row r="313" spans="1:22" ht="9" hidden="1" customHeight="1">
      <c r="A313" s="504" t="s">
        <v>10</v>
      </c>
      <c r="B313" s="504"/>
      <c r="C313" s="504"/>
      <c r="D313" s="504"/>
      <c r="E313" s="504"/>
      <c r="F313" s="504"/>
      <c r="G313" s="504"/>
      <c r="H313" s="504"/>
      <c r="I313" s="504"/>
      <c r="J313" s="504"/>
      <c r="K313" s="504"/>
      <c r="L313" s="504"/>
      <c r="M313" s="504"/>
      <c r="N313" s="504"/>
      <c r="O313" s="504"/>
      <c r="P313" s="504"/>
      <c r="Q313" s="504"/>
      <c r="R313" s="504"/>
      <c r="S313" s="504"/>
      <c r="T313" s="190"/>
      <c r="U313" s="190"/>
      <c r="V313" s="161"/>
    </row>
    <row r="314" spans="1:22" ht="9" hidden="1" customHeight="1">
      <c r="A314" s="78">
        <v>245</v>
      </c>
      <c r="B314" s="82" t="s">
        <v>941</v>
      </c>
      <c r="C314" s="86" t="s">
        <v>1126</v>
      </c>
      <c r="D314" s="119" t="s">
        <v>1125</v>
      </c>
      <c r="E314" s="78" t="s">
        <v>944</v>
      </c>
      <c r="F314" s="103" t="s">
        <v>87</v>
      </c>
      <c r="G314" s="102">
        <v>2</v>
      </c>
      <c r="H314" s="102">
        <v>1</v>
      </c>
      <c r="I314" s="79">
        <v>398.1</v>
      </c>
      <c r="J314" s="79">
        <v>366.6</v>
      </c>
      <c r="K314" s="102">
        <v>13</v>
      </c>
      <c r="L314" s="117">
        <f>'Приложение 2 КСП 2018-2019 гг'!G316</f>
        <v>1097935.54</v>
      </c>
      <c r="M314" s="230">
        <v>0</v>
      </c>
      <c r="N314" s="230">
        <v>0</v>
      </c>
      <c r="O314" s="230">
        <v>0</v>
      </c>
      <c r="P314" s="230">
        <f t="shared" ref="P314:P316" si="68">L314</f>
        <v>1097935.54</v>
      </c>
      <c r="Q314" s="144">
        <v>0</v>
      </c>
      <c r="R314" s="144">
        <v>0</v>
      </c>
      <c r="S314" s="46" t="s">
        <v>585</v>
      </c>
      <c r="T314" s="41"/>
      <c r="U314" s="42"/>
      <c r="V314" s="161"/>
    </row>
    <row r="315" spans="1:22" ht="9" hidden="1" customHeight="1">
      <c r="A315" s="78">
        <v>246</v>
      </c>
      <c r="B315" s="82" t="s">
        <v>942</v>
      </c>
      <c r="C315" s="86" t="s">
        <v>1126</v>
      </c>
      <c r="D315" s="119" t="s">
        <v>1125</v>
      </c>
      <c r="E315" s="78" t="s">
        <v>607</v>
      </c>
      <c r="F315" s="103" t="s">
        <v>87</v>
      </c>
      <c r="G315" s="102">
        <v>2</v>
      </c>
      <c r="H315" s="102">
        <v>2</v>
      </c>
      <c r="I315" s="79">
        <v>907.9</v>
      </c>
      <c r="J315" s="79">
        <v>844.1</v>
      </c>
      <c r="K315" s="102">
        <v>37</v>
      </c>
      <c r="L315" s="117">
        <f>'Приложение 2 КСП 2018-2019 гг'!G317</f>
        <v>3386604.65</v>
      </c>
      <c r="M315" s="230">
        <v>0</v>
      </c>
      <c r="N315" s="230">
        <v>0</v>
      </c>
      <c r="O315" s="230">
        <v>0</v>
      </c>
      <c r="P315" s="230">
        <f t="shared" si="68"/>
        <v>3386604.65</v>
      </c>
      <c r="Q315" s="144">
        <v>0</v>
      </c>
      <c r="R315" s="144">
        <v>0</v>
      </c>
      <c r="S315" s="46" t="s">
        <v>585</v>
      </c>
      <c r="T315" s="41"/>
      <c r="U315" s="42"/>
      <c r="V315" s="161"/>
    </row>
    <row r="316" spans="1:22" ht="9" hidden="1" customHeight="1">
      <c r="A316" s="78">
        <v>247</v>
      </c>
      <c r="B316" s="82" t="s">
        <v>943</v>
      </c>
      <c r="C316" s="86" t="s">
        <v>1126</v>
      </c>
      <c r="D316" s="119" t="s">
        <v>1125</v>
      </c>
      <c r="E316" s="78" t="s">
        <v>587</v>
      </c>
      <c r="F316" s="103" t="s">
        <v>87</v>
      </c>
      <c r="G316" s="102">
        <v>2</v>
      </c>
      <c r="H316" s="102">
        <v>1</v>
      </c>
      <c r="I316" s="79">
        <v>353.8</v>
      </c>
      <c r="J316" s="79">
        <v>335.6</v>
      </c>
      <c r="K316" s="102">
        <v>21</v>
      </c>
      <c r="L316" s="117">
        <f>'Приложение 2 КСП 2018-2019 гг'!G318</f>
        <v>1046296.79</v>
      </c>
      <c r="M316" s="230">
        <v>0</v>
      </c>
      <c r="N316" s="230">
        <v>0</v>
      </c>
      <c r="O316" s="230">
        <v>0</v>
      </c>
      <c r="P316" s="230">
        <f t="shared" si="68"/>
        <v>1046296.79</v>
      </c>
      <c r="Q316" s="144">
        <v>0</v>
      </c>
      <c r="R316" s="144">
        <v>0</v>
      </c>
      <c r="S316" s="46" t="s">
        <v>585</v>
      </c>
      <c r="T316" s="41"/>
      <c r="U316" s="42"/>
      <c r="V316" s="161"/>
    </row>
    <row r="317" spans="1:22" ht="36.75" hidden="1" customHeight="1">
      <c r="A317" s="606" t="s">
        <v>11</v>
      </c>
      <c r="B317" s="606"/>
      <c r="C317" s="86"/>
      <c r="D317" s="147"/>
      <c r="E317" s="54" t="s">
        <v>387</v>
      </c>
      <c r="F317" s="54" t="s">
        <v>387</v>
      </c>
      <c r="G317" s="54" t="s">
        <v>387</v>
      </c>
      <c r="H317" s="54" t="s">
        <v>387</v>
      </c>
      <c r="I317" s="225">
        <f>SUM(I314:I316)</f>
        <v>1659.8</v>
      </c>
      <c r="J317" s="225">
        <f t="shared" ref="J317:R317" si="69">SUM(J314:J316)</f>
        <v>1546.3000000000002</v>
      </c>
      <c r="K317" s="47">
        <f t="shared" si="69"/>
        <v>71</v>
      </c>
      <c r="L317" s="225">
        <f t="shared" si="69"/>
        <v>5530836.9799999995</v>
      </c>
      <c r="M317" s="225">
        <f t="shared" si="69"/>
        <v>0</v>
      </c>
      <c r="N317" s="225">
        <f t="shared" si="69"/>
        <v>0</v>
      </c>
      <c r="O317" s="225">
        <f t="shared" si="69"/>
        <v>0</v>
      </c>
      <c r="P317" s="225">
        <f t="shared" si="69"/>
        <v>5530836.9799999995</v>
      </c>
      <c r="Q317" s="225">
        <f t="shared" si="69"/>
        <v>0</v>
      </c>
      <c r="R317" s="225">
        <f t="shared" si="69"/>
        <v>0</v>
      </c>
      <c r="S317" s="144"/>
      <c r="T317" s="163"/>
      <c r="U317" s="172"/>
      <c r="V317" s="161"/>
    </row>
    <row r="318" spans="1:22" ht="9" hidden="1" customHeight="1">
      <c r="A318" s="504" t="s">
        <v>1047</v>
      </c>
      <c r="B318" s="504"/>
      <c r="C318" s="504"/>
      <c r="D318" s="504"/>
      <c r="E318" s="504"/>
      <c r="F318" s="504"/>
      <c r="G318" s="504"/>
      <c r="H318" s="504"/>
      <c r="I318" s="504"/>
      <c r="J318" s="504"/>
      <c r="K318" s="504"/>
      <c r="L318" s="504"/>
      <c r="M318" s="504"/>
      <c r="N318" s="504"/>
      <c r="O318" s="504"/>
      <c r="P318" s="504"/>
      <c r="Q318" s="504"/>
      <c r="R318" s="504"/>
      <c r="S318" s="504"/>
      <c r="T318" s="190"/>
      <c r="U318" s="190"/>
      <c r="V318" s="161"/>
    </row>
    <row r="319" spans="1:22" ht="9" hidden="1" customHeight="1">
      <c r="A319" s="147">
        <v>248</v>
      </c>
      <c r="B319" s="147" t="s">
        <v>950</v>
      </c>
      <c r="C319" s="86" t="s">
        <v>1126</v>
      </c>
      <c r="D319" s="119" t="s">
        <v>1125</v>
      </c>
      <c r="E319" s="54" t="s">
        <v>614</v>
      </c>
      <c r="F319" s="54" t="s">
        <v>87</v>
      </c>
      <c r="G319" s="140">
        <v>2</v>
      </c>
      <c r="H319" s="140">
        <v>3</v>
      </c>
      <c r="I319" s="79">
        <v>934.9</v>
      </c>
      <c r="J319" s="79">
        <v>873.5</v>
      </c>
      <c r="K319" s="102">
        <v>27</v>
      </c>
      <c r="L319" s="117">
        <f>'Приложение 2 КСП 2018-2019 гг'!G321</f>
        <v>2636927.4700000002</v>
      </c>
      <c r="M319" s="231">
        <v>0</v>
      </c>
      <c r="N319" s="231">
        <v>0</v>
      </c>
      <c r="O319" s="231">
        <v>0</v>
      </c>
      <c r="P319" s="231">
        <f t="shared" ref="P319" si="70">L319</f>
        <v>2636927.4700000002</v>
      </c>
      <c r="Q319" s="231">
        <v>0</v>
      </c>
      <c r="R319" s="144">
        <v>0</v>
      </c>
      <c r="S319" s="46" t="s">
        <v>585</v>
      </c>
      <c r="T319" s="41"/>
      <c r="U319" s="42"/>
      <c r="V319" s="161"/>
    </row>
    <row r="320" spans="1:22" ht="36.75" hidden="1" customHeight="1">
      <c r="A320" s="606" t="s">
        <v>1048</v>
      </c>
      <c r="B320" s="606"/>
      <c r="C320" s="86"/>
      <c r="D320" s="147"/>
      <c r="E320" s="54" t="s">
        <v>387</v>
      </c>
      <c r="F320" s="54" t="s">
        <v>387</v>
      </c>
      <c r="G320" s="54" t="s">
        <v>387</v>
      </c>
      <c r="H320" s="54" t="s">
        <v>387</v>
      </c>
      <c r="I320" s="225">
        <f>SUM(I319)</f>
        <v>934.9</v>
      </c>
      <c r="J320" s="225">
        <f t="shared" ref="J320:R320" si="71">SUM(J319)</f>
        <v>873.5</v>
      </c>
      <c r="K320" s="47">
        <f t="shared" si="71"/>
        <v>27</v>
      </c>
      <c r="L320" s="225">
        <f t="shared" si="71"/>
        <v>2636927.4700000002</v>
      </c>
      <c r="M320" s="225">
        <f t="shared" si="71"/>
        <v>0</v>
      </c>
      <c r="N320" s="225">
        <f t="shared" si="71"/>
        <v>0</v>
      </c>
      <c r="O320" s="225">
        <f t="shared" si="71"/>
        <v>0</v>
      </c>
      <c r="P320" s="225">
        <f t="shared" si="71"/>
        <v>2636927.4700000002</v>
      </c>
      <c r="Q320" s="225">
        <f t="shared" si="71"/>
        <v>0</v>
      </c>
      <c r="R320" s="225">
        <f t="shared" si="71"/>
        <v>0</v>
      </c>
      <c r="S320" s="144"/>
      <c r="T320" s="163"/>
      <c r="U320" s="172"/>
      <c r="V320" s="161"/>
    </row>
    <row r="321" spans="1:22" ht="9" hidden="1" customHeight="1">
      <c r="A321" s="504" t="s">
        <v>425</v>
      </c>
      <c r="B321" s="504"/>
      <c r="C321" s="504"/>
      <c r="D321" s="504"/>
      <c r="E321" s="504"/>
      <c r="F321" s="504"/>
      <c r="G321" s="504"/>
      <c r="H321" s="504"/>
      <c r="I321" s="504"/>
      <c r="J321" s="504"/>
      <c r="K321" s="504"/>
      <c r="L321" s="504"/>
      <c r="M321" s="504"/>
      <c r="N321" s="504"/>
      <c r="O321" s="504"/>
      <c r="P321" s="504"/>
      <c r="Q321" s="504"/>
      <c r="R321" s="504"/>
      <c r="S321" s="504"/>
      <c r="T321" s="190"/>
      <c r="U321" s="190"/>
      <c r="V321" s="161"/>
    </row>
    <row r="322" spans="1:22" ht="9" hidden="1" customHeight="1">
      <c r="A322" s="145">
        <v>249</v>
      </c>
      <c r="B322" s="68" t="s">
        <v>952</v>
      </c>
      <c r="C322" s="46" t="s">
        <v>1126</v>
      </c>
      <c r="D322" s="119" t="s">
        <v>1125</v>
      </c>
      <c r="E322" s="145" t="s">
        <v>603</v>
      </c>
      <c r="F322" s="145" t="s">
        <v>87</v>
      </c>
      <c r="G322" s="44">
        <v>2</v>
      </c>
      <c r="H322" s="44">
        <v>3</v>
      </c>
      <c r="I322" s="144">
        <v>996.3</v>
      </c>
      <c r="J322" s="144">
        <v>894.2</v>
      </c>
      <c r="K322" s="145">
        <v>41</v>
      </c>
      <c r="L322" s="117">
        <f>'Приложение 2 КСП 2018-2019 гг'!G324</f>
        <v>2454167.61</v>
      </c>
      <c r="M322" s="231">
        <v>0</v>
      </c>
      <c r="N322" s="231">
        <v>0</v>
      </c>
      <c r="O322" s="231">
        <v>0</v>
      </c>
      <c r="P322" s="231">
        <f t="shared" ref="P322" si="72">L322</f>
        <v>2454167.61</v>
      </c>
      <c r="Q322" s="231">
        <v>0</v>
      </c>
      <c r="R322" s="144">
        <v>0</v>
      </c>
      <c r="S322" s="46" t="s">
        <v>585</v>
      </c>
      <c r="T322" s="41"/>
      <c r="U322" s="42"/>
      <c r="V322" s="161"/>
    </row>
    <row r="323" spans="1:22" ht="37.5" hidden="1" customHeight="1">
      <c r="A323" s="599" t="s">
        <v>426</v>
      </c>
      <c r="B323" s="599"/>
      <c r="C323" s="46"/>
      <c r="D323" s="142"/>
      <c r="E323" s="54" t="s">
        <v>387</v>
      </c>
      <c r="F323" s="54" t="s">
        <v>387</v>
      </c>
      <c r="G323" s="54" t="s">
        <v>387</v>
      </c>
      <c r="H323" s="54" t="s">
        <v>387</v>
      </c>
      <c r="I323" s="225">
        <f>SUM(I322)</f>
        <v>996.3</v>
      </c>
      <c r="J323" s="225">
        <f t="shared" ref="J323:R323" si="73">SUM(J322)</f>
        <v>894.2</v>
      </c>
      <c r="K323" s="47">
        <f t="shared" si="73"/>
        <v>41</v>
      </c>
      <c r="L323" s="225">
        <f t="shared" si="73"/>
        <v>2454167.61</v>
      </c>
      <c r="M323" s="225">
        <f t="shared" si="73"/>
        <v>0</v>
      </c>
      <c r="N323" s="225">
        <f t="shared" si="73"/>
        <v>0</v>
      </c>
      <c r="O323" s="225">
        <f t="shared" si="73"/>
        <v>0</v>
      </c>
      <c r="P323" s="225">
        <f t="shared" si="73"/>
        <v>2454167.61</v>
      </c>
      <c r="Q323" s="225">
        <f t="shared" si="73"/>
        <v>0</v>
      </c>
      <c r="R323" s="225">
        <f t="shared" si="73"/>
        <v>0</v>
      </c>
      <c r="S323" s="144"/>
      <c r="T323" s="39"/>
      <c r="U323" s="42"/>
      <c r="V323" s="161"/>
    </row>
    <row r="324" spans="1:22" ht="9" hidden="1" customHeight="1">
      <c r="A324" s="504" t="s">
        <v>1068</v>
      </c>
      <c r="B324" s="504"/>
      <c r="C324" s="504"/>
      <c r="D324" s="504"/>
      <c r="E324" s="504"/>
      <c r="F324" s="504"/>
      <c r="G324" s="504"/>
      <c r="H324" s="504"/>
      <c r="I324" s="504"/>
      <c r="J324" s="504"/>
      <c r="K324" s="504"/>
      <c r="L324" s="504"/>
      <c r="M324" s="504"/>
      <c r="N324" s="504"/>
      <c r="O324" s="504"/>
      <c r="P324" s="504"/>
      <c r="Q324" s="504"/>
      <c r="R324" s="504"/>
      <c r="S324" s="504"/>
      <c r="T324" s="190"/>
      <c r="U324" s="190"/>
      <c r="V324" s="161"/>
    </row>
    <row r="325" spans="1:22" ht="9" hidden="1" customHeight="1">
      <c r="A325" s="142">
        <v>250</v>
      </c>
      <c r="B325" s="142" t="s">
        <v>954</v>
      </c>
      <c r="C325" s="218" t="s">
        <v>1126</v>
      </c>
      <c r="D325" s="119" t="s">
        <v>1125</v>
      </c>
      <c r="E325" s="54" t="s">
        <v>608</v>
      </c>
      <c r="F325" s="54" t="s">
        <v>87</v>
      </c>
      <c r="G325" s="140">
        <v>2</v>
      </c>
      <c r="H325" s="140">
        <v>2</v>
      </c>
      <c r="I325" s="144">
        <v>311.3</v>
      </c>
      <c r="J325" s="144">
        <v>297.10000000000002</v>
      </c>
      <c r="K325" s="145">
        <v>12</v>
      </c>
      <c r="L325" s="117">
        <f>'Приложение 2 КСП 2018-2019 гг'!G327</f>
        <v>1646505.73</v>
      </c>
      <c r="M325" s="231">
        <v>0</v>
      </c>
      <c r="N325" s="231">
        <v>0</v>
      </c>
      <c r="O325" s="231">
        <v>0</v>
      </c>
      <c r="P325" s="231">
        <f t="shared" ref="P325" si="74">L325</f>
        <v>1646505.73</v>
      </c>
      <c r="Q325" s="231">
        <v>0</v>
      </c>
      <c r="R325" s="144">
        <v>0</v>
      </c>
      <c r="S325" s="46" t="s">
        <v>585</v>
      </c>
      <c r="T325" s="41"/>
      <c r="U325" s="42"/>
      <c r="V325" s="161"/>
    </row>
    <row r="326" spans="1:22" ht="39" hidden="1" customHeight="1">
      <c r="A326" s="599" t="s">
        <v>1069</v>
      </c>
      <c r="B326" s="599"/>
      <c r="C326" s="46"/>
      <c r="D326" s="145"/>
      <c r="E326" s="54" t="s">
        <v>387</v>
      </c>
      <c r="F326" s="54" t="s">
        <v>387</v>
      </c>
      <c r="G326" s="54" t="s">
        <v>387</v>
      </c>
      <c r="H326" s="54" t="s">
        <v>387</v>
      </c>
      <c r="I326" s="225">
        <f>SUM(I325)</f>
        <v>311.3</v>
      </c>
      <c r="J326" s="225">
        <f t="shared" ref="J326:R326" si="75">SUM(J325)</f>
        <v>297.10000000000002</v>
      </c>
      <c r="K326" s="47">
        <f t="shared" si="75"/>
        <v>12</v>
      </c>
      <c r="L326" s="225">
        <f t="shared" si="75"/>
        <v>1646505.73</v>
      </c>
      <c r="M326" s="225">
        <f t="shared" si="75"/>
        <v>0</v>
      </c>
      <c r="N326" s="225">
        <f t="shared" si="75"/>
        <v>0</v>
      </c>
      <c r="O326" s="225">
        <f t="shared" si="75"/>
        <v>0</v>
      </c>
      <c r="P326" s="225">
        <f t="shared" si="75"/>
        <v>1646505.73</v>
      </c>
      <c r="Q326" s="225">
        <f t="shared" si="75"/>
        <v>0</v>
      </c>
      <c r="R326" s="225">
        <f t="shared" si="75"/>
        <v>0</v>
      </c>
      <c r="S326" s="144"/>
      <c r="T326" s="39"/>
      <c r="U326" s="42"/>
      <c r="V326" s="161"/>
    </row>
    <row r="327" spans="1:22" ht="9" hidden="1" customHeight="1">
      <c r="A327" s="502" t="s">
        <v>28</v>
      </c>
      <c r="B327" s="502"/>
      <c r="C327" s="502"/>
      <c r="D327" s="502"/>
      <c r="E327" s="502"/>
      <c r="F327" s="502"/>
      <c r="G327" s="502"/>
      <c r="H327" s="502"/>
      <c r="I327" s="502"/>
      <c r="J327" s="502"/>
      <c r="K327" s="502"/>
      <c r="L327" s="502"/>
      <c r="M327" s="502"/>
      <c r="N327" s="502"/>
      <c r="O327" s="502"/>
      <c r="P327" s="502"/>
      <c r="Q327" s="502"/>
      <c r="R327" s="502"/>
      <c r="S327" s="502"/>
      <c r="T327" s="162"/>
      <c r="U327" s="162"/>
      <c r="V327" s="161"/>
    </row>
    <row r="328" spans="1:22" ht="9" hidden="1" customHeight="1">
      <c r="A328" s="145">
        <v>251</v>
      </c>
      <c r="B328" s="68" t="s">
        <v>955</v>
      </c>
      <c r="C328" s="46" t="s">
        <v>1126</v>
      </c>
      <c r="D328" s="119" t="s">
        <v>1125</v>
      </c>
      <c r="E328" s="145" t="s">
        <v>609</v>
      </c>
      <c r="F328" s="145" t="s">
        <v>87</v>
      </c>
      <c r="G328" s="44">
        <v>2</v>
      </c>
      <c r="H328" s="44">
        <v>1</v>
      </c>
      <c r="I328" s="144">
        <v>862.2</v>
      </c>
      <c r="J328" s="144">
        <v>656</v>
      </c>
      <c r="K328" s="44">
        <v>49</v>
      </c>
      <c r="L328" s="117">
        <f>'Приложение 2 КСП 2018-2019 гг'!G330</f>
        <v>2255703.0299999998</v>
      </c>
      <c r="M328" s="231">
        <v>0</v>
      </c>
      <c r="N328" s="231">
        <v>0</v>
      </c>
      <c r="O328" s="231">
        <v>0</v>
      </c>
      <c r="P328" s="231">
        <f t="shared" ref="P328:P330" si="76">L328</f>
        <v>2255703.0299999998</v>
      </c>
      <c r="Q328" s="231">
        <v>0</v>
      </c>
      <c r="R328" s="144">
        <v>0</v>
      </c>
      <c r="S328" s="46" t="s">
        <v>585</v>
      </c>
      <c r="T328" s="41"/>
      <c r="U328" s="42"/>
      <c r="V328" s="161"/>
    </row>
    <row r="329" spans="1:22" ht="9" hidden="1" customHeight="1">
      <c r="A329" s="145">
        <v>252</v>
      </c>
      <c r="B329" s="68" t="s">
        <v>956</v>
      </c>
      <c r="C329" s="46" t="s">
        <v>1126</v>
      </c>
      <c r="D329" s="119" t="s">
        <v>1125</v>
      </c>
      <c r="E329" s="145" t="s">
        <v>105</v>
      </c>
      <c r="F329" s="145" t="s">
        <v>87</v>
      </c>
      <c r="G329" s="44">
        <v>2</v>
      </c>
      <c r="H329" s="44">
        <v>1</v>
      </c>
      <c r="I329" s="144">
        <v>309</v>
      </c>
      <c r="J329" s="144">
        <v>284.5</v>
      </c>
      <c r="K329" s="44">
        <v>9</v>
      </c>
      <c r="L329" s="117">
        <f>'Приложение 2 КСП 2018-2019 гг'!G331</f>
        <v>958047.15</v>
      </c>
      <c r="M329" s="231">
        <v>0</v>
      </c>
      <c r="N329" s="231">
        <v>0</v>
      </c>
      <c r="O329" s="231">
        <v>0</v>
      </c>
      <c r="P329" s="231">
        <f t="shared" si="76"/>
        <v>958047.15</v>
      </c>
      <c r="Q329" s="231">
        <v>0</v>
      </c>
      <c r="R329" s="144">
        <v>0</v>
      </c>
      <c r="S329" s="46" t="s">
        <v>585</v>
      </c>
      <c r="T329" s="41"/>
      <c r="U329" s="42"/>
      <c r="V329" s="161"/>
    </row>
    <row r="330" spans="1:22" ht="9" hidden="1" customHeight="1">
      <c r="A330" s="145">
        <v>253</v>
      </c>
      <c r="B330" s="68" t="s">
        <v>957</v>
      </c>
      <c r="C330" s="46" t="s">
        <v>1126</v>
      </c>
      <c r="D330" s="119" t="s">
        <v>1125</v>
      </c>
      <c r="E330" s="145" t="s">
        <v>611</v>
      </c>
      <c r="F330" s="145" t="s">
        <v>87</v>
      </c>
      <c r="G330" s="44">
        <v>2</v>
      </c>
      <c r="H330" s="44">
        <v>2</v>
      </c>
      <c r="I330" s="144">
        <v>574</v>
      </c>
      <c r="J330" s="144">
        <v>525.6</v>
      </c>
      <c r="K330" s="44">
        <v>21</v>
      </c>
      <c r="L330" s="117">
        <f>'Приложение 2 КСП 2018-2019 гг'!G332</f>
        <v>1706534.23</v>
      </c>
      <c r="M330" s="231">
        <v>0</v>
      </c>
      <c r="N330" s="231">
        <v>0</v>
      </c>
      <c r="O330" s="231">
        <v>0</v>
      </c>
      <c r="P330" s="231">
        <f t="shared" si="76"/>
        <v>1706534.23</v>
      </c>
      <c r="Q330" s="231">
        <v>0</v>
      </c>
      <c r="R330" s="144">
        <v>0</v>
      </c>
      <c r="S330" s="46" t="s">
        <v>585</v>
      </c>
      <c r="T330" s="41"/>
      <c r="U330" s="42"/>
      <c r="V330" s="161"/>
    </row>
    <row r="331" spans="1:22" ht="36" hidden="1" customHeight="1">
      <c r="A331" s="599" t="s">
        <v>29</v>
      </c>
      <c r="B331" s="599"/>
      <c r="C331" s="46"/>
      <c r="D331" s="142"/>
      <c r="E331" s="54" t="s">
        <v>387</v>
      </c>
      <c r="F331" s="54" t="s">
        <v>387</v>
      </c>
      <c r="G331" s="54" t="s">
        <v>387</v>
      </c>
      <c r="H331" s="54" t="s">
        <v>387</v>
      </c>
      <c r="I331" s="225">
        <f>SUM(I328:I330)</f>
        <v>1745.2</v>
      </c>
      <c r="J331" s="225">
        <f t="shared" ref="J331:R331" si="77">SUM(J328:J330)</f>
        <v>1466.1</v>
      </c>
      <c r="K331" s="47">
        <f t="shared" si="77"/>
        <v>79</v>
      </c>
      <c r="L331" s="225">
        <f t="shared" si="77"/>
        <v>4920284.41</v>
      </c>
      <c r="M331" s="225">
        <f t="shared" si="77"/>
        <v>0</v>
      </c>
      <c r="N331" s="225">
        <f t="shared" si="77"/>
        <v>0</v>
      </c>
      <c r="O331" s="225">
        <f t="shared" si="77"/>
        <v>0</v>
      </c>
      <c r="P331" s="225">
        <f t="shared" si="77"/>
        <v>4920284.41</v>
      </c>
      <c r="Q331" s="225">
        <f t="shared" si="77"/>
        <v>0</v>
      </c>
      <c r="R331" s="225">
        <f t="shared" si="77"/>
        <v>0</v>
      </c>
      <c r="S331" s="225"/>
      <c r="T331" s="41"/>
      <c r="U331" s="42"/>
      <c r="V331" s="161"/>
    </row>
    <row r="332" spans="1:22" ht="9" hidden="1" customHeight="1">
      <c r="A332" s="502" t="s">
        <v>34</v>
      </c>
      <c r="B332" s="502"/>
      <c r="C332" s="502"/>
      <c r="D332" s="502"/>
      <c r="E332" s="502"/>
      <c r="F332" s="502"/>
      <c r="G332" s="502"/>
      <c r="H332" s="502"/>
      <c r="I332" s="502"/>
      <c r="J332" s="502"/>
      <c r="K332" s="502"/>
      <c r="L332" s="502"/>
      <c r="M332" s="502"/>
      <c r="N332" s="502"/>
      <c r="O332" s="502"/>
      <c r="P332" s="502"/>
      <c r="Q332" s="502"/>
      <c r="R332" s="502"/>
      <c r="S332" s="502"/>
      <c r="T332" s="162"/>
      <c r="U332" s="162"/>
      <c r="V332" s="161"/>
    </row>
    <row r="333" spans="1:22" ht="9" hidden="1" customHeight="1">
      <c r="A333" s="145">
        <v>254</v>
      </c>
      <c r="B333" s="68" t="s">
        <v>960</v>
      </c>
      <c r="C333" s="46" t="s">
        <v>1126</v>
      </c>
      <c r="D333" s="119" t="s">
        <v>1125</v>
      </c>
      <c r="E333" s="145" t="s">
        <v>593</v>
      </c>
      <c r="F333" s="145" t="s">
        <v>87</v>
      </c>
      <c r="G333" s="44">
        <v>2</v>
      </c>
      <c r="H333" s="44">
        <v>1</v>
      </c>
      <c r="I333" s="144">
        <v>465</v>
      </c>
      <c r="J333" s="144">
        <v>360</v>
      </c>
      <c r="K333" s="44">
        <v>32</v>
      </c>
      <c r="L333" s="117">
        <f>'Приложение 2 КСП 2018-2019 гг'!G335</f>
        <v>1338057.55</v>
      </c>
      <c r="M333" s="231">
        <v>0</v>
      </c>
      <c r="N333" s="231">
        <v>0</v>
      </c>
      <c r="O333" s="231">
        <v>0</v>
      </c>
      <c r="P333" s="231">
        <f t="shared" ref="P333:P339" si="78">L333</f>
        <v>1338057.55</v>
      </c>
      <c r="Q333" s="231">
        <v>0</v>
      </c>
      <c r="R333" s="144">
        <v>0</v>
      </c>
      <c r="S333" s="46" t="s">
        <v>585</v>
      </c>
      <c r="T333" s="41"/>
      <c r="U333" s="42"/>
      <c r="V333" s="161"/>
    </row>
    <row r="334" spans="1:22" ht="9" hidden="1" customHeight="1">
      <c r="A334" s="145">
        <v>255</v>
      </c>
      <c r="B334" s="68" t="s">
        <v>961</v>
      </c>
      <c r="C334" s="46" t="s">
        <v>1126</v>
      </c>
      <c r="D334" s="119" t="s">
        <v>1125</v>
      </c>
      <c r="E334" s="145" t="s">
        <v>612</v>
      </c>
      <c r="F334" s="145" t="s">
        <v>87</v>
      </c>
      <c r="G334" s="44">
        <v>2</v>
      </c>
      <c r="H334" s="44">
        <v>1</v>
      </c>
      <c r="I334" s="144">
        <v>465</v>
      </c>
      <c r="J334" s="144">
        <v>368</v>
      </c>
      <c r="K334" s="44">
        <v>13</v>
      </c>
      <c r="L334" s="117">
        <f>'Приложение 2 КСП 2018-2019 гг'!G336</f>
        <v>1118482.22</v>
      </c>
      <c r="M334" s="231">
        <v>0</v>
      </c>
      <c r="N334" s="231">
        <v>0</v>
      </c>
      <c r="O334" s="231">
        <v>0</v>
      </c>
      <c r="P334" s="231">
        <f t="shared" si="78"/>
        <v>1118482.22</v>
      </c>
      <c r="Q334" s="231">
        <v>0</v>
      </c>
      <c r="R334" s="144">
        <v>0</v>
      </c>
      <c r="S334" s="46" t="s">
        <v>585</v>
      </c>
      <c r="T334" s="41"/>
      <c r="U334" s="42"/>
      <c r="V334" s="161"/>
    </row>
    <row r="335" spans="1:22" ht="9" hidden="1" customHeight="1">
      <c r="A335" s="341">
        <v>256</v>
      </c>
      <c r="B335" s="68" t="s">
        <v>962</v>
      </c>
      <c r="C335" s="46" t="s">
        <v>1126</v>
      </c>
      <c r="D335" s="119" t="s">
        <v>1125</v>
      </c>
      <c r="E335" s="145" t="s">
        <v>607</v>
      </c>
      <c r="F335" s="145" t="s">
        <v>87</v>
      </c>
      <c r="G335" s="44">
        <v>2</v>
      </c>
      <c r="H335" s="44">
        <v>1</v>
      </c>
      <c r="I335" s="144">
        <v>445.7</v>
      </c>
      <c r="J335" s="144">
        <v>373.1</v>
      </c>
      <c r="K335" s="44">
        <v>15</v>
      </c>
      <c r="L335" s="117">
        <f>'Приложение 2 КСП 2018-2019 гг'!G337</f>
        <v>1237840.31</v>
      </c>
      <c r="M335" s="231">
        <v>0</v>
      </c>
      <c r="N335" s="231">
        <v>0</v>
      </c>
      <c r="O335" s="231">
        <v>0</v>
      </c>
      <c r="P335" s="231">
        <f t="shared" si="78"/>
        <v>1237840.31</v>
      </c>
      <c r="Q335" s="231">
        <v>0</v>
      </c>
      <c r="R335" s="144">
        <v>0</v>
      </c>
      <c r="S335" s="46" t="s">
        <v>585</v>
      </c>
      <c r="T335" s="41"/>
      <c r="U335" s="42"/>
      <c r="V335" s="161"/>
    </row>
    <row r="336" spans="1:22" ht="9" hidden="1" customHeight="1">
      <c r="A336" s="341">
        <v>257</v>
      </c>
      <c r="B336" s="68" t="s">
        <v>963</v>
      </c>
      <c r="C336" s="46" t="s">
        <v>1126</v>
      </c>
      <c r="D336" s="119" t="s">
        <v>1125</v>
      </c>
      <c r="E336" s="145" t="s">
        <v>744</v>
      </c>
      <c r="F336" s="145" t="s">
        <v>87</v>
      </c>
      <c r="G336" s="44">
        <v>2</v>
      </c>
      <c r="H336" s="44">
        <v>1</v>
      </c>
      <c r="I336" s="144">
        <v>356.9</v>
      </c>
      <c r="J336" s="144">
        <v>327.7</v>
      </c>
      <c r="K336" s="44">
        <v>14</v>
      </c>
      <c r="L336" s="117">
        <f>'Приложение 2 КСП 2018-2019 гг'!G338</f>
        <v>1146816.3700000001</v>
      </c>
      <c r="M336" s="231">
        <v>0</v>
      </c>
      <c r="N336" s="231">
        <v>0</v>
      </c>
      <c r="O336" s="231">
        <v>0</v>
      </c>
      <c r="P336" s="231">
        <f t="shared" si="78"/>
        <v>1146816.3700000001</v>
      </c>
      <c r="Q336" s="231">
        <v>0</v>
      </c>
      <c r="R336" s="144">
        <v>0</v>
      </c>
      <c r="S336" s="46" t="s">
        <v>585</v>
      </c>
      <c r="T336" s="41"/>
      <c r="U336" s="42"/>
      <c r="V336" s="161"/>
    </row>
    <row r="337" spans="1:22" ht="9" hidden="1" customHeight="1">
      <c r="A337" s="341">
        <v>258</v>
      </c>
      <c r="B337" s="68" t="s">
        <v>964</v>
      </c>
      <c r="C337" s="46" t="s">
        <v>1126</v>
      </c>
      <c r="D337" s="119" t="s">
        <v>1125</v>
      </c>
      <c r="E337" s="145" t="s">
        <v>792</v>
      </c>
      <c r="F337" s="145" t="s">
        <v>87</v>
      </c>
      <c r="G337" s="44">
        <v>1</v>
      </c>
      <c r="H337" s="44">
        <v>1</v>
      </c>
      <c r="I337" s="144">
        <v>146.5</v>
      </c>
      <c r="J337" s="144">
        <v>136.6</v>
      </c>
      <c r="K337" s="44">
        <v>6</v>
      </c>
      <c r="L337" s="117">
        <f>'Приложение 2 КСП 2018-2019 гг'!G339</f>
        <v>950358.48</v>
      </c>
      <c r="M337" s="231">
        <v>0</v>
      </c>
      <c r="N337" s="231">
        <v>0</v>
      </c>
      <c r="O337" s="231">
        <v>0</v>
      </c>
      <c r="P337" s="231">
        <f t="shared" si="78"/>
        <v>950358.48</v>
      </c>
      <c r="Q337" s="231">
        <v>0</v>
      </c>
      <c r="R337" s="144">
        <v>0</v>
      </c>
      <c r="S337" s="46" t="s">
        <v>585</v>
      </c>
      <c r="T337" s="41"/>
      <c r="U337" s="42"/>
      <c r="V337" s="161"/>
    </row>
    <row r="338" spans="1:22" ht="9" hidden="1" customHeight="1">
      <c r="A338" s="341">
        <v>259</v>
      </c>
      <c r="B338" s="68" t="s">
        <v>965</v>
      </c>
      <c r="C338" s="46" t="s">
        <v>1126</v>
      </c>
      <c r="D338" s="119" t="s">
        <v>1125</v>
      </c>
      <c r="E338" s="145" t="s">
        <v>612</v>
      </c>
      <c r="F338" s="145" t="s">
        <v>87</v>
      </c>
      <c r="G338" s="44">
        <v>1</v>
      </c>
      <c r="H338" s="44">
        <v>2</v>
      </c>
      <c r="I338" s="144">
        <v>390.4</v>
      </c>
      <c r="J338" s="144">
        <v>340.4</v>
      </c>
      <c r="K338" s="44">
        <v>22</v>
      </c>
      <c r="L338" s="117">
        <f>'Приложение 2 КСП 2018-2019 гг'!G340</f>
        <v>1078411.42</v>
      </c>
      <c r="M338" s="231">
        <v>0</v>
      </c>
      <c r="N338" s="231">
        <v>0</v>
      </c>
      <c r="O338" s="231">
        <v>0</v>
      </c>
      <c r="P338" s="231">
        <f t="shared" si="78"/>
        <v>1078411.42</v>
      </c>
      <c r="Q338" s="231">
        <v>0</v>
      </c>
      <c r="R338" s="144">
        <v>0</v>
      </c>
      <c r="S338" s="46" t="s">
        <v>585</v>
      </c>
      <c r="T338" s="41"/>
      <c r="U338" s="42"/>
      <c r="V338" s="161"/>
    </row>
    <row r="339" spans="1:22" ht="9" hidden="1" customHeight="1">
      <c r="A339" s="341">
        <v>260</v>
      </c>
      <c r="B339" s="68" t="s">
        <v>966</v>
      </c>
      <c r="C339" s="46" t="s">
        <v>1126</v>
      </c>
      <c r="D339" s="232" t="s">
        <v>1125</v>
      </c>
      <c r="E339" s="232" t="s">
        <v>603</v>
      </c>
      <c r="F339" s="232" t="s">
        <v>87</v>
      </c>
      <c r="G339" s="44">
        <v>2</v>
      </c>
      <c r="H339" s="44">
        <v>1</v>
      </c>
      <c r="I339" s="231">
        <v>731.52</v>
      </c>
      <c r="J339" s="231">
        <v>601.9</v>
      </c>
      <c r="K339" s="44">
        <v>54</v>
      </c>
      <c r="L339" s="117">
        <f>'Приложение 2 КСП 2018-2019 гг'!G341</f>
        <v>1005774</v>
      </c>
      <c r="M339" s="231">
        <v>0</v>
      </c>
      <c r="N339" s="231">
        <v>0</v>
      </c>
      <c r="O339" s="231">
        <v>0</v>
      </c>
      <c r="P339" s="231">
        <f t="shared" si="78"/>
        <v>1005774</v>
      </c>
      <c r="Q339" s="231">
        <v>0</v>
      </c>
      <c r="R339" s="231">
        <v>0</v>
      </c>
      <c r="S339" s="46" t="s">
        <v>585</v>
      </c>
      <c r="T339" s="41"/>
      <c r="U339" s="42"/>
      <c r="V339" s="161"/>
    </row>
    <row r="340" spans="1:22" ht="39.75" hidden="1" customHeight="1">
      <c r="A340" s="599" t="s">
        <v>35</v>
      </c>
      <c r="B340" s="599"/>
      <c r="C340" s="46"/>
      <c r="D340" s="142"/>
      <c r="E340" s="54" t="s">
        <v>387</v>
      </c>
      <c r="F340" s="54" t="s">
        <v>387</v>
      </c>
      <c r="G340" s="54" t="s">
        <v>387</v>
      </c>
      <c r="H340" s="54" t="s">
        <v>387</v>
      </c>
      <c r="I340" s="225">
        <f>SUM(I333:I339)</f>
        <v>3001.02</v>
      </c>
      <c r="J340" s="225">
        <f t="shared" ref="J340:R340" si="79">SUM(J333:J339)</f>
        <v>2507.6999999999998</v>
      </c>
      <c r="K340" s="47">
        <f t="shared" si="79"/>
        <v>156</v>
      </c>
      <c r="L340" s="225">
        <f t="shared" si="79"/>
        <v>7875740.3499999996</v>
      </c>
      <c r="M340" s="225">
        <f t="shared" si="79"/>
        <v>0</v>
      </c>
      <c r="N340" s="225">
        <f t="shared" si="79"/>
        <v>0</v>
      </c>
      <c r="O340" s="225">
        <f t="shared" si="79"/>
        <v>0</v>
      </c>
      <c r="P340" s="225">
        <f t="shared" si="79"/>
        <v>7875740.3499999996</v>
      </c>
      <c r="Q340" s="225">
        <f t="shared" si="79"/>
        <v>0</v>
      </c>
      <c r="R340" s="225">
        <f t="shared" si="79"/>
        <v>0</v>
      </c>
      <c r="S340" s="225"/>
      <c r="T340" s="41"/>
      <c r="U340" s="42"/>
      <c r="V340" s="161"/>
    </row>
    <row r="341" spans="1:22" ht="9" hidden="1" customHeight="1">
      <c r="A341" s="502" t="s">
        <v>39</v>
      </c>
      <c r="B341" s="502"/>
      <c r="C341" s="502"/>
      <c r="D341" s="502"/>
      <c r="E341" s="502"/>
      <c r="F341" s="502"/>
      <c r="G341" s="502"/>
      <c r="H341" s="502"/>
      <c r="I341" s="502"/>
      <c r="J341" s="502"/>
      <c r="K341" s="502"/>
      <c r="L341" s="502"/>
      <c r="M341" s="502"/>
      <c r="N341" s="502"/>
      <c r="O341" s="502"/>
      <c r="P341" s="502"/>
      <c r="Q341" s="502"/>
      <c r="R341" s="502"/>
      <c r="S341" s="502"/>
      <c r="T341" s="162"/>
      <c r="U341" s="162"/>
      <c r="V341" s="161"/>
    </row>
    <row r="342" spans="1:22" ht="29.25" customHeight="1">
      <c r="A342" s="479">
        <v>1</v>
      </c>
      <c r="B342" s="480" t="s">
        <v>972</v>
      </c>
      <c r="C342" s="481" t="s">
        <v>1126</v>
      </c>
      <c r="D342" s="482" t="s">
        <v>1125</v>
      </c>
      <c r="E342" s="479" t="s">
        <v>745</v>
      </c>
      <c r="F342" s="479" t="s">
        <v>772</v>
      </c>
      <c r="G342" s="483">
        <v>2</v>
      </c>
      <c r="H342" s="483">
        <v>2</v>
      </c>
      <c r="I342" s="484">
        <v>412.31</v>
      </c>
      <c r="J342" s="484">
        <v>366.74</v>
      </c>
      <c r="K342" s="483">
        <v>23</v>
      </c>
      <c r="L342" s="485">
        <f>'Приложение 2 КСП 2018-2019 гг'!G344</f>
        <v>1194178.03</v>
      </c>
      <c r="M342" s="484">
        <v>0</v>
      </c>
      <c r="N342" s="484">
        <v>0</v>
      </c>
      <c r="O342" s="484">
        <v>0</v>
      </c>
      <c r="P342" s="484">
        <f t="shared" ref="P342" si="80">L342</f>
        <v>1194178.03</v>
      </c>
      <c r="Q342" s="484">
        <v>0</v>
      </c>
      <c r="R342" s="484">
        <v>0</v>
      </c>
      <c r="S342" s="481" t="s">
        <v>585</v>
      </c>
      <c r="T342" s="41"/>
      <c r="U342" s="42"/>
      <c r="V342" s="161"/>
    </row>
    <row r="343" spans="1:22" ht="48.75" hidden="1" customHeight="1">
      <c r="A343" s="599" t="s">
        <v>38</v>
      </c>
      <c r="B343" s="599"/>
      <c r="C343" s="46"/>
      <c r="D343" s="142"/>
      <c r="E343" s="54" t="s">
        <v>387</v>
      </c>
      <c r="F343" s="54" t="s">
        <v>387</v>
      </c>
      <c r="G343" s="54" t="s">
        <v>387</v>
      </c>
      <c r="H343" s="54" t="s">
        <v>387</v>
      </c>
      <c r="I343" s="225">
        <f>SUM(I342)</f>
        <v>412.31</v>
      </c>
      <c r="J343" s="225">
        <f t="shared" ref="J343:R343" si="81">SUM(J342)</f>
        <v>366.74</v>
      </c>
      <c r="K343" s="47">
        <f t="shared" si="81"/>
        <v>23</v>
      </c>
      <c r="L343" s="225">
        <f t="shared" si="81"/>
        <v>1194178.03</v>
      </c>
      <c r="M343" s="225">
        <f t="shared" si="81"/>
        <v>0</v>
      </c>
      <c r="N343" s="225">
        <f t="shared" si="81"/>
        <v>0</v>
      </c>
      <c r="O343" s="225">
        <f t="shared" si="81"/>
        <v>0</v>
      </c>
      <c r="P343" s="225">
        <f t="shared" si="81"/>
        <v>1194178.03</v>
      </c>
      <c r="Q343" s="225">
        <f t="shared" si="81"/>
        <v>0</v>
      </c>
      <c r="R343" s="225">
        <f t="shared" si="81"/>
        <v>0</v>
      </c>
      <c r="S343" s="225"/>
      <c r="T343" s="41"/>
      <c r="U343" s="42"/>
      <c r="V343" s="161"/>
    </row>
    <row r="344" spans="1:22" ht="9" hidden="1" customHeight="1">
      <c r="A344" s="502" t="s">
        <v>44</v>
      </c>
      <c r="B344" s="502"/>
      <c r="C344" s="502"/>
      <c r="D344" s="502"/>
      <c r="E344" s="502"/>
      <c r="F344" s="502"/>
      <c r="G344" s="502"/>
      <c r="H344" s="502"/>
      <c r="I344" s="502"/>
      <c r="J344" s="502"/>
      <c r="K344" s="502"/>
      <c r="L344" s="502"/>
      <c r="M344" s="502"/>
      <c r="N344" s="502"/>
      <c r="O344" s="502"/>
      <c r="P344" s="502"/>
      <c r="Q344" s="502"/>
      <c r="R344" s="502"/>
      <c r="S344" s="502"/>
      <c r="T344" s="162"/>
      <c r="U344" s="162"/>
      <c r="V344" s="161"/>
    </row>
    <row r="345" spans="1:22" ht="9" hidden="1" customHeight="1">
      <c r="A345" s="145">
        <v>262</v>
      </c>
      <c r="B345" s="68" t="s">
        <v>974</v>
      </c>
      <c r="C345" s="46" t="s">
        <v>1126</v>
      </c>
      <c r="D345" s="119" t="s">
        <v>1125</v>
      </c>
      <c r="E345" s="145" t="s">
        <v>607</v>
      </c>
      <c r="F345" s="145" t="s">
        <v>87</v>
      </c>
      <c r="G345" s="44">
        <v>4</v>
      </c>
      <c r="H345" s="44">
        <v>2</v>
      </c>
      <c r="I345" s="144">
        <v>1383</v>
      </c>
      <c r="J345" s="144">
        <v>1289.5999999999999</v>
      </c>
      <c r="K345" s="47">
        <v>56</v>
      </c>
      <c r="L345" s="117">
        <f>'Приложение 2 КСП 2018-2019 гг'!G347</f>
        <v>2194106.4700000002</v>
      </c>
      <c r="M345" s="231">
        <v>0</v>
      </c>
      <c r="N345" s="231">
        <v>0</v>
      </c>
      <c r="O345" s="231">
        <v>0</v>
      </c>
      <c r="P345" s="231">
        <f t="shared" ref="P345:P348" si="82">L345</f>
        <v>2194106.4700000002</v>
      </c>
      <c r="Q345" s="231">
        <v>0</v>
      </c>
      <c r="R345" s="144">
        <v>0</v>
      </c>
      <c r="S345" s="46" t="s">
        <v>585</v>
      </c>
      <c r="T345" s="41"/>
      <c r="U345" s="42"/>
      <c r="V345" s="161"/>
    </row>
    <row r="346" spans="1:22" ht="9" hidden="1" customHeight="1">
      <c r="A346" s="145">
        <v>263</v>
      </c>
      <c r="B346" s="68" t="s">
        <v>975</v>
      </c>
      <c r="C346" s="46" t="s">
        <v>1126</v>
      </c>
      <c r="D346" s="119" t="s">
        <v>1125</v>
      </c>
      <c r="E346" s="145" t="s">
        <v>603</v>
      </c>
      <c r="F346" s="145" t="s">
        <v>87</v>
      </c>
      <c r="G346" s="44">
        <v>5</v>
      </c>
      <c r="H346" s="44">
        <v>4</v>
      </c>
      <c r="I346" s="144">
        <v>2862.5</v>
      </c>
      <c r="J346" s="144">
        <v>2562</v>
      </c>
      <c r="K346" s="47">
        <v>88</v>
      </c>
      <c r="L346" s="117">
        <f>'Приложение 2 КСП 2018-2019 гг'!G348</f>
        <v>3319894.19</v>
      </c>
      <c r="M346" s="231">
        <v>0</v>
      </c>
      <c r="N346" s="231">
        <v>0</v>
      </c>
      <c r="O346" s="231">
        <v>0</v>
      </c>
      <c r="P346" s="231">
        <f t="shared" si="82"/>
        <v>3319894.19</v>
      </c>
      <c r="Q346" s="231">
        <v>0</v>
      </c>
      <c r="R346" s="144">
        <v>0</v>
      </c>
      <c r="S346" s="46" t="s">
        <v>585</v>
      </c>
      <c r="T346" s="41"/>
      <c r="U346" s="42"/>
      <c r="V346" s="161"/>
    </row>
    <row r="347" spans="1:22" ht="9" hidden="1" customHeight="1">
      <c r="A347" s="341">
        <v>264</v>
      </c>
      <c r="B347" s="68" t="s">
        <v>976</v>
      </c>
      <c r="C347" s="46" t="s">
        <v>1126</v>
      </c>
      <c r="D347" s="119" t="s">
        <v>1125</v>
      </c>
      <c r="E347" s="145" t="s">
        <v>745</v>
      </c>
      <c r="F347" s="145" t="s">
        <v>87</v>
      </c>
      <c r="G347" s="44">
        <v>2</v>
      </c>
      <c r="H347" s="44">
        <v>1</v>
      </c>
      <c r="I347" s="144">
        <v>241.2</v>
      </c>
      <c r="J347" s="144">
        <v>163.6</v>
      </c>
      <c r="K347" s="47">
        <v>6</v>
      </c>
      <c r="L347" s="117">
        <f>'Приложение 2 КСП 2018-2019 гг'!G349</f>
        <v>689117.42</v>
      </c>
      <c r="M347" s="231">
        <v>0</v>
      </c>
      <c r="N347" s="231">
        <v>0</v>
      </c>
      <c r="O347" s="231">
        <v>0</v>
      </c>
      <c r="P347" s="231">
        <f t="shared" si="82"/>
        <v>689117.42</v>
      </c>
      <c r="Q347" s="231">
        <v>0</v>
      </c>
      <c r="R347" s="144">
        <v>0</v>
      </c>
      <c r="S347" s="46" t="s">
        <v>585</v>
      </c>
      <c r="T347" s="41"/>
      <c r="U347" s="42"/>
      <c r="V347" s="161"/>
    </row>
    <row r="348" spans="1:22" ht="9" hidden="1" customHeight="1">
      <c r="A348" s="341">
        <v>265</v>
      </c>
      <c r="B348" s="68" t="s">
        <v>977</v>
      </c>
      <c r="C348" s="46" t="s">
        <v>1126</v>
      </c>
      <c r="D348" s="119" t="s">
        <v>1125</v>
      </c>
      <c r="E348" s="145" t="s">
        <v>594</v>
      </c>
      <c r="F348" s="145" t="s">
        <v>87</v>
      </c>
      <c r="G348" s="44">
        <v>3</v>
      </c>
      <c r="H348" s="44">
        <v>1</v>
      </c>
      <c r="I348" s="144">
        <v>397.8</v>
      </c>
      <c r="J348" s="144">
        <v>363.7</v>
      </c>
      <c r="K348" s="47">
        <v>36</v>
      </c>
      <c r="L348" s="117">
        <f>'Приложение 2 КСП 2018-2019 гг'!G350</f>
        <v>1048485.18</v>
      </c>
      <c r="M348" s="231">
        <v>0</v>
      </c>
      <c r="N348" s="231">
        <v>0</v>
      </c>
      <c r="O348" s="231">
        <v>0</v>
      </c>
      <c r="P348" s="231">
        <f t="shared" si="82"/>
        <v>1048485.18</v>
      </c>
      <c r="Q348" s="231">
        <v>0</v>
      </c>
      <c r="R348" s="144">
        <v>0</v>
      </c>
      <c r="S348" s="46" t="s">
        <v>585</v>
      </c>
      <c r="T348" s="41"/>
      <c r="U348" s="42"/>
      <c r="V348" s="161"/>
    </row>
    <row r="349" spans="1:22" ht="9" hidden="1" customHeight="1">
      <c r="A349" s="341">
        <v>266</v>
      </c>
      <c r="B349" s="68" t="s">
        <v>978</v>
      </c>
      <c r="C349" s="46" t="s">
        <v>1126</v>
      </c>
      <c r="D349" s="119" t="s">
        <v>1125</v>
      </c>
      <c r="E349" s="145" t="s">
        <v>604</v>
      </c>
      <c r="F349" s="145" t="s">
        <v>87</v>
      </c>
      <c r="G349" s="44">
        <v>2</v>
      </c>
      <c r="H349" s="44">
        <v>2</v>
      </c>
      <c r="I349" s="144">
        <v>597.79999999999995</v>
      </c>
      <c r="J349" s="144">
        <v>551.4</v>
      </c>
      <c r="K349" s="47">
        <v>29</v>
      </c>
      <c r="L349" s="117">
        <f>'Приложение 2 КСП 2018-2019 гг'!G351</f>
        <v>1703585.39</v>
      </c>
      <c r="M349" s="231">
        <v>0</v>
      </c>
      <c r="N349" s="231">
        <v>0</v>
      </c>
      <c r="O349" s="231">
        <v>0</v>
      </c>
      <c r="P349" s="231">
        <f t="shared" ref="P349:P350" si="83">L349</f>
        <v>1703585.39</v>
      </c>
      <c r="Q349" s="231">
        <v>0</v>
      </c>
      <c r="R349" s="144">
        <v>0</v>
      </c>
      <c r="S349" s="46" t="s">
        <v>585</v>
      </c>
      <c r="T349" s="41"/>
      <c r="U349" s="42"/>
      <c r="V349" s="161"/>
    </row>
    <row r="350" spans="1:22" ht="9" hidden="1" customHeight="1">
      <c r="A350" s="341">
        <v>267</v>
      </c>
      <c r="B350" s="68" t="s">
        <v>979</v>
      </c>
      <c r="C350" s="46" t="s">
        <v>1126</v>
      </c>
      <c r="D350" s="119" t="s">
        <v>1125</v>
      </c>
      <c r="E350" s="145" t="s">
        <v>217</v>
      </c>
      <c r="F350" s="145" t="s">
        <v>87</v>
      </c>
      <c r="G350" s="44">
        <v>2</v>
      </c>
      <c r="H350" s="44">
        <v>4</v>
      </c>
      <c r="I350" s="144">
        <v>1389.5</v>
      </c>
      <c r="J350" s="144">
        <v>1205</v>
      </c>
      <c r="K350" s="47">
        <v>126</v>
      </c>
      <c r="L350" s="117">
        <f>'Приложение 2 КСП 2018-2019 гг'!G352</f>
        <v>4012232.7</v>
      </c>
      <c r="M350" s="231">
        <v>0</v>
      </c>
      <c r="N350" s="231">
        <v>0</v>
      </c>
      <c r="O350" s="231">
        <v>0</v>
      </c>
      <c r="P350" s="231">
        <f t="shared" si="83"/>
        <v>4012232.7</v>
      </c>
      <c r="Q350" s="231">
        <v>0</v>
      </c>
      <c r="R350" s="144">
        <v>0</v>
      </c>
      <c r="S350" s="46" t="s">
        <v>585</v>
      </c>
      <c r="T350" s="41"/>
      <c r="U350" s="42"/>
      <c r="V350" s="161"/>
    </row>
    <row r="351" spans="1:22" ht="9" hidden="1" customHeight="1">
      <c r="A351" s="341">
        <v>268</v>
      </c>
      <c r="B351" s="68" t="s">
        <v>980</v>
      </c>
      <c r="C351" s="46" t="s">
        <v>1126</v>
      </c>
      <c r="D351" s="119" t="s">
        <v>1125</v>
      </c>
      <c r="E351" s="145" t="s">
        <v>607</v>
      </c>
      <c r="F351" s="145" t="s">
        <v>87</v>
      </c>
      <c r="G351" s="44">
        <v>4</v>
      </c>
      <c r="H351" s="44">
        <v>3</v>
      </c>
      <c r="I351" s="144">
        <v>2190.5</v>
      </c>
      <c r="J351" s="144">
        <v>1758.4</v>
      </c>
      <c r="K351" s="47">
        <v>174</v>
      </c>
      <c r="L351" s="117">
        <f>'Приложение 2 КСП 2018-2019 гг'!G353</f>
        <v>3171282.28</v>
      </c>
      <c r="M351" s="231">
        <v>0</v>
      </c>
      <c r="N351" s="231">
        <v>0</v>
      </c>
      <c r="O351" s="231">
        <v>0</v>
      </c>
      <c r="P351" s="231">
        <f t="shared" ref="P351:P352" si="84">L351</f>
        <v>3171282.28</v>
      </c>
      <c r="Q351" s="231">
        <v>0</v>
      </c>
      <c r="R351" s="144">
        <v>0</v>
      </c>
      <c r="S351" s="46" t="s">
        <v>585</v>
      </c>
      <c r="T351" s="41"/>
      <c r="U351" s="42"/>
      <c r="V351" s="161"/>
    </row>
    <row r="352" spans="1:22" ht="9" hidden="1" customHeight="1">
      <c r="A352" s="341">
        <v>269</v>
      </c>
      <c r="B352" s="68" t="s">
        <v>981</v>
      </c>
      <c r="C352" s="46" t="s">
        <v>1126</v>
      </c>
      <c r="D352" s="119" t="s">
        <v>1125</v>
      </c>
      <c r="E352" s="145" t="s">
        <v>792</v>
      </c>
      <c r="F352" s="145" t="s">
        <v>87</v>
      </c>
      <c r="G352" s="44">
        <v>2</v>
      </c>
      <c r="H352" s="44">
        <v>2</v>
      </c>
      <c r="I352" s="144">
        <v>637.34</v>
      </c>
      <c r="J352" s="144">
        <v>565.4</v>
      </c>
      <c r="K352" s="47">
        <v>26</v>
      </c>
      <c r="L352" s="117">
        <f>'Приложение 2 КСП 2018-2019 гг'!G354</f>
        <v>1544972.05</v>
      </c>
      <c r="M352" s="231">
        <v>0</v>
      </c>
      <c r="N352" s="231">
        <v>0</v>
      </c>
      <c r="O352" s="231">
        <v>0</v>
      </c>
      <c r="P352" s="231">
        <f t="shared" si="84"/>
        <v>1544972.05</v>
      </c>
      <c r="Q352" s="231">
        <v>0</v>
      </c>
      <c r="R352" s="144">
        <v>0</v>
      </c>
      <c r="S352" s="46" t="s">
        <v>585</v>
      </c>
      <c r="T352" s="41"/>
      <c r="U352" s="42"/>
      <c r="V352" s="161"/>
    </row>
    <row r="353" spans="1:22" ht="9" hidden="1" customHeight="1">
      <c r="A353" s="341">
        <v>270</v>
      </c>
      <c r="B353" s="68" t="s">
        <v>982</v>
      </c>
      <c r="C353" s="46" t="s">
        <v>1126</v>
      </c>
      <c r="D353" s="119" t="s">
        <v>1125</v>
      </c>
      <c r="E353" s="145" t="s">
        <v>744</v>
      </c>
      <c r="F353" s="145" t="s">
        <v>87</v>
      </c>
      <c r="G353" s="44">
        <v>2</v>
      </c>
      <c r="H353" s="44">
        <v>2</v>
      </c>
      <c r="I353" s="144">
        <v>586.5</v>
      </c>
      <c r="J353" s="144">
        <v>508.1</v>
      </c>
      <c r="K353" s="47">
        <v>24</v>
      </c>
      <c r="L353" s="117">
        <f>'Приложение 2 КСП 2018-2019 гг'!G355</f>
        <v>1959478.34</v>
      </c>
      <c r="M353" s="231">
        <v>0</v>
      </c>
      <c r="N353" s="231">
        <v>0</v>
      </c>
      <c r="O353" s="231">
        <v>0</v>
      </c>
      <c r="P353" s="231">
        <f t="shared" ref="P353:P354" si="85">L353</f>
        <v>1959478.34</v>
      </c>
      <c r="Q353" s="231">
        <v>0</v>
      </c>
      <c r="R353" s="144">
        <v>0</v>
      </c>
      <c r="S353" s="46" t="s">
        <v>585</v>
      </c>
      <c r="T353" s="41"/>
      <c r="U353" s="42"/>
      <c r="V353" s="161"/>
    </row>
    <row r="354" spans="1:22" ht="9" hidden="1" customHeight="1">
      <c r="A354" s="341">
        <v>271</v>
      </c>
      <c r="B354" s="68" t="s">
        <v>1046</v>
      </c>
      <c r="C354" s="46" t="s">
        <v>1126</v>
      </c>
      <c r="D354" s="119" t="s">
        <v>1125</v>
      </c>
      <c r="E354" s="145">
        <v>1962</v>
      </c>
      <c r="F354" s="145" t="s">
        <v>87</v>
      </c>
      <c r="G354" s="145">
        <v>2</v>
      </c>
      <c r="H354" s="145">
        <v>2</v>
      </c>
      <c r="I354" s="144">
        <v>579</v>
      </c>
      <c r="J354" s="144">
        <v>572</v>
      </c>
      <c r="K354" s="47">
        <v>22</v>
      </c>
      <c r="L354" s="117">
        <f>'Приложение 2 КСП 2018-2019 гг'!G356</f>
        <v>1785811.28</v>
      </c>
      <c r="M354" s="231">
        <v>0</v>
      </c>
      <c r="N354" s="231">
        <v>0</v>
      </c>
      <c r="O354" s="231">
        <v>0</v>
      </c>
      <c r="P354" s="231">
        <f t="shared" si="85"/>
        <v>1785811.28</v>
      </c>
      <c r="Q354" s="231">
        <v>0</v>
      </c>
      <c r="R354" s="144">
        <v>0</v>
      </c>
      <c r="S354" s="46" t="s">
        <v>585</v>
      </c>
      <c r="T354" s="41"/>
      <c r="U354" s="42"/>
      <c r="V354" s="161"/>
    </row>
    <row r="355" spans="1:22" ht="24" hidden="1" customHeight="1">
      <c r="A355" s="599" t="s">
        <v>43</v>
      </c>
      <c r="B355" s="599"/>
      <c r="C355" s="46"/>
      <c r="D355" s="142"/>
      <c r="E355" s="54" t="s">
        <v>387</v>
      </c>
      <c r="F355" s="54" t="s">
        <v>387</v>
      </c>
      <c r="G355" s="54" t="s">
        <v>387</v>
      </c>
      <c r="H355" s="54" t="s">
        <v>387</v>
      </c>
      <c r="I355" s="225">
        <f>SUM(I345:I354)</f>
        <v>10865.14</v>
      </c>
      <c r="J355" s="225">
        <f t="shared" ref="J355:R355" si="86">SUM(J345:J354)</f>
        <v>9539.1999999999989</v>
      </c>
      <c r="K355" s="47">
        <f t="shared" si="86"/>
        <v>587</v>
      </c>
      <c r="L355" s="225">
        <f t="shared" si="86"/>
        <v>21428965.300000001</v>
      </c>
      <c r="M355" s="225">
        <f t="shared" si="86"/>
        <v>0</v>
      </c>
      <c r="N355" s="225">
        <f t="shared" si="86"/>
        <v>0</v>
      </c>
      <c r="O355" s="225">
        <f t="shared" si="86"/>
        <v>0</v>
      </c>
      <c r="P355" s="225">
        <f t="shared" si="86"/>
        <v>21428965.300000001</v>
      </c>
      <c r="Q355" s="225">
        <f t="shared" si="86"/>
        <v>0</v>
      </c>
      <c r="R355" s="225">
        <f t="shared" si="86"/>
        <v>0</v>
      </c>
      <c r="S355" s="225"/>
      <c r="T355" s="41"/>
      <c r="U355" s="42"/>
      <c r="V355" s="161"/>
    </row>
    <row r="356" spans="1:22" ht="17.25" hidden="1" customHeight="1">
      <c r="A356" s="502" t="s">
        <v>1021</v>
      </c>
      <c r="B356" s="502"/>
      <c r="C356" s="502"/>
      <c r="D356" s="502"/>
      <c r="E356" s="502"/>
      <c r="F356" s="502"/>
      <c r="G356" s="502"/>
      <c r="H356" s="502"/>
      <c r="I356" s="502"/>
      <c r="J356" s="502"/>
      <c r="K356" s="502"/>
      <c r="L356" s="502"/>
      <c r="M356" s="502"/>
      <c r="N356" s="502"/>
      <c r="O356" s="502"/>
      <c r="P356" s="502"/>
      <c r="Q356" s="502"/>
      <c r="R356" s="502"/>
      <c r="S356" s="502"/>
      <c r="T356" s="43"/>
      <c r="U356" s="43"/>
      <c r="V356" s="161"/>
    </row>
    <row r="357" spans="1:22" ht="9" hidden="1" customHeight="1">
      <c r="A357" s="503" t="s">
        <v>1018</v>
      </c>
      <c r="B357" s="503"/>
      <c r="C357" s="46"/>
      <c r="D357" s="145"/>
      <c r="E357" s="145" t="s">
        <v>387</v>
      </c>
      <c r="F357" s="145" t="s">
        <v>387</v>
      </c>
      <c r="G357" s="145" t="s">
        <v>387</v>
      </c>
      <c r="H357" s="145" t="s">
        <v>387</v>
      </c>
      <c r="I357" s="253">
        <f t="shared" ref="I357:R357" si="87">I492+I501+I515+I520+I526+I530+I545+I548+I552+I556+I562+I566+I569+I572+I583+I586+I589+I592+I600+I603+I611+I615+I618+I622+I627+I630+I634+I638+I641+I648+I651+I654+I657+I661+I668+I674+I677+I687+I690</f>
        <v>815065.54999999981</v>
      </c>
      <c r="J357" s="253">
        <f t="shared" si="87"/>
        <v>693532.88000000012</v>
      </c>
      <c r="K357" s="45">
        <f t="shared" si="87"/>
        <v>30675</v>
      </c>
      <c r="L357" s="253">
        <f t="shared" si="87"/>
        <v>787862869.85000014</v>
      </c>
      <c r="M357" s="253">
        <f t="shared" si="87"/>
        <v>0</v>
      </c>
      <c r="N357" s="253">
        <f t="shared" si="87"/>
        <v>0</v>
      </c>
      <c r="O357" s="253">
        <f t="shared" si="87"/>
        <v>0</v>
      </c>
      <c r="P357" s="253">
        <f t="shared" si="87"/>
        <v>787862869.85000014</v>
      </c>
      <c r="Q357" s="253">
        <f t="shared" si="87"/>
        <v>0</v>
      </c>
      <c r="R357" s="253">
        <f t="shared" si="87"/>
        <v>0</v>
      </c>
      <c r="S357" s="144"/>
      <c r="T357" s="41"/>
      <c r="U357" s="42"/>
    </row>
    <row r="358" spans="1:22" ht="9" hidden="1" customHeight="1">
      <c r="A358" s="502" t="s">
        <v>215</v>
      </c>
      <c r="B358" s="502"/>
      <c r="C358" s="502"/>
      <c r="D358" s="502"/>
      <c r="E358" s="502"/>
      <c r="F358" s="502"/>
      <c r="G358" s="502"/>
      <c r="H358" s="502"/>
      <c r="I358" s="502"/>
      <c r="J358" s="502"/>
      <c r="K358" s="502"/>
      <c r="L358" s="502"/>
      <c r="M358" s="502"/>
      <c r="N358" s="502"/>
      <c r="O358" s="502"/>
      <c r="P358" s="502"/>
      <c r="Q358" s="502"/>
      <c r="R358" s="502"/>
      <c r="S358" s="502"/>
      <c r="T358" s="162"/>
      <c r="U358" s="162"/>
    </row>
    <row r="359" spans="1:22" ht="9" hidden="1" customHeight="1">
      <c r="A359" s="145">
        <v>1</v>
      </c>
      <c r="B359" s="118" t="s">
        <v>618</v>
      </c>
      <c r="C359" s="213" t="s">
        <v>1126</v>
      </c>
      <c r="D359" s="119" t="s">
        <v>1125</v>
      </c>
      <c r="E359" s="124" t="s">
        <v>587</v>
      </c>
      <c r="F359" s="121" t="s">
        <v>87</v>
      </c>
      <c r="G359" s="122">
        <v>5</v>
      </c>
      <c r="H359" s="122">
        <v>4</v>
      </c>
      <c r="I359" s="123">
        <v>3330.4</v>
      </c>
      <c r="J359" s="123">
        <v>2697.2</v>
      </c>
      <c r="K359" s="322">
        <v>147</v>
      </c>
      <c r="L359" s="117">
        <f>'Приложение 2 КСП 2018-2019 гг'!G361</f>
        <v>3680292</v>
      </c>
      <c r="M359" s="253">
        <v>0</v>
      </c>
      <c r="N359" s="253">
        <v>0</v>
      </c>
      <c r="O359" s="253">
        <v>0</v>
      </c>
      <c r="P359" s="253">
        <f t="shared" ref="P359" si="88">L359</f>
        <v>3680292</v>
      </c>
      <c r="Q359" s="253">
        <v>0</v>
      </c>
      <c r="R359" s="144">
        <v>0</v>
      </c>
      <c r="S359" s="46" t="s">
        <v>586</v>
      </c>
      <c r="T359" s="41"/>
      <c r="U359" s="42"/>
    </row>
    <row r="360" spans="1:22" ht="9" hidden="1" customHeight="1">
      <c r="A360" s="145">
        <v>2</v>
      </c>
      <c r="B360" s="118" t="s">
        <v>619</v>
      </c>
      <c r="C360" s="213" t="s">
        <v>1126</v>
      </c>
      <c r="D360" s="119" t="s">
        <v>1125</v>
      </c>
      <c r="E360" s="124" t="s">
        <v>587</v>
      </c>
      <c r="F360" s="121" t="s">
        <v>87</v>
      </c>
      <c r="G360" s="122">
        <v>5</v>
      </c>
      <c r="H360" s="122">
        <v>4</v>
      </c>
      <c r="I360" s="123">
        <v>2794.8</v>
      </c>
      <c r="J360" s="123">
        <v>2154.1</v>
      </c>
      <c r="K360" s="322">
        <v>75</v>
      </c>
      <c r="L360" s="117">
        <f>'Приложение 2 КСП 2018-2019 гг'!G362</f>
        <v>2865324</v>
      </c>
      <c r="M360" s="253">
        <v>0</v>
      </c>
      <c r="N360" s="253">
        <v>0</v>
      </c>
      <c r="O360" s="253">
        <v>0</v>
      </c>
      <c r="P360" s="253">
        <f t="shared" ref="P360:P423" si="89">L360</f>
        <v>2865324</v>
      </c>
      <c r="Q360" s="253">
        <v>0</v>
      </c>
      <c r="R360" s="144">
        <v>0</v>
      </c>
      <c r="S360" s="46" t="s">
        <v>586</v>
      </c>
      <c r="T360" s="41"/>
      <c r="U360" s="42"/>
    </row>
    <row r="361" spans="1:22" ht="9" hidden="1" customHeight="1">
      <c r="A361" s="145">
        <v>3</v>
      </c>
      <c r="B361" s="118" t="s">
        <v>620</v>
      </c>
      <c r="C361" s="213" t="s">
        <v>1126</v>
      </c>
      <c r="D361" s="119" t="s">
        <v>1125</v>
      </c>
      <c r="E361" s="124" t="s">
        <v>601</v>
      </c>
      <c r="F361" s="121" t="s">
        <v>87</v>
      </c>
      <c r="G361" s="122">
        <v>9</v>
      </c>
      <c r="H361" s="122">
        <v>1</v>
      </c>
      <c r="I361" s="123">
        <v>5104.6000000000004</v>
      </c>
      <c r="J361" s="123">
        <v>4019.9</v>
      </c>
      <c r="K361" s="322">
        <v>38</v>
      </c>
      <c r="L361" s="117">
        <f>'Приложение 2 КСП 2018-2019 гг'!G363</f>
        <v>4520904</v>
      </c>
      <c r="M361" s="253">
        <v>0</v>
      </c>
      <c r="N361" s="253">
        <v>0</v>
      </c>
      <c r="O361" s="253">
        <v>0</v>
      </c>
      <c r="P361" s="253">
        <f t="shared" si="89"/>
        <v>4520904</v>
      </c>
      <c r="Q361" s="253">
        <v>0</v>
      </c>
      <c r="R361" s="144">
        <v>0</v>
      </c>
      <c r="S361" s="46" t="s">
        <v>586</v>
      </c>
      <c r="T361" s="41"/>
      <c r="U361" s="42"/>
    </row>
    <row r="362" spans="1:22" ht="9" hidden="1" customHeight="1">
      <c r="A362" s="252">
        <v>4</v>
      </c>
      <c r="B362" s="118" t="s">
        <v>621</v>
      </c>
      <c r="C362" s="213" t="s">
        <v>1126</v>
      </c>
      <c r="D362" s="119" t="s">
        <v>1125</v>
      </c>
      <c r="E362" s="124" t="s">
        <v>590</v>
      </c>
      <c r="F362" s="121" t="s">
        <v>89</v>
      </c>
      <c r="G362" s="122">
        <v>9</v>
      </c>
      <c r="H362" s="122">
        <v>5</v>
      </c>
      <c r="I362" s="123">
        <v>11213.9</v>
      </c>
      <c r="J362" s="123">
        <v>9829.9</v>
      </c>
      <c r="K362" s="322">
        <v>36</v>
      </c>
      <c r="L362" s="117">
        <f>'Приложение 2 КСП 2018-2019 гг'!G364</f>
        <v>5677802</v>
      </c>
      <c r="M362" s="253">
        <v>0</v>
      </c>
      <c r="N362" s="253">
        <v>0</v>
      </c>
      <c r="O362" s="253">
        <v>0</v>
      </c>
      <c r="P362" s="253">
        <f t="shared" si="89"/>
        <v>5677802</v>
      </c>
      <c r="Q362" s="253">
        <v>0</v>
      </c>
      <c r="R362" s="144">
        <v>0</v>
      </c>
      <c r="S362" s="46" t="s">
        <v>586</v>
      </c>
      <c r="T362" s="41"/>
      <c r="U362" s="42"/>
    </row>
    <row r="363" spans="1:22" ht="9" hidden="1" customHeight="1">
      <c r="A363" s="252">
        <v>5</v>
      </c>
      <c r="B363" s="118" t="s">
        <v>622</v>
      </c>
      <c r="C363" s="213" t="s">
        <v>1126</v>
      </c>
      <c r="D363" s="119" t="s">
        <v>1125</v>
      </c>
      <c r="E363" s="124" t="s">
        <v>596</v>
      </c>
      <c r="F363" s="121" t="s">
        <v>89</v>
      </c>
      <c r="G363" s="122">
        <v>9</v>
      </c>
      <c r="H363" s="122">
        <v>6</v>
      </c>
      <c r="I363" s="123">
        <v>13854.3</v>
      </c>
      <c r="J363" s="123">
        <v>11948.5</v>
      </c>
      <c r="K363" s="322">
        <v>36</v>
      </c>
      <c r="L363" s="117">
        <f>'Приложение 2 КСП 2018-2019 гг'!G365</f>
        <v>6988730.7999999998</v>
      </c>
      <c r="M363" s="253">
        <v>0</v>
      </c>
      <c r="N363" s="253">
        <v>0</v>
      </c>
      <c r="O363" s="253">
        <v>0</v>
      </c>
      <c r="P363" s="253">
        <f t="shared" si="89"/>
        <v>6988730.7999999998</v>
      </c>
      <c r="Q363" s="253">
        <v>0</v>
      </c>
      <c r="R363" s="144">
        <v>0</v>
      </c>
      <c r="S363" s="46" t="s">
        <v>586</v>
      </c>
      <c r="T363" s="41"/>
      <c r="U363" s="42"/>
    </row>
    <row r="364" spans="1:22" ht="9" hidden="1" customHeight="1">
      <c r="A364" s="252">
        <v>6</v>
      </c>
      <c r="B364" s="118" t="s">
        <v>623</v>
      </c>
      <c r="C364" s="213" t="s">
        <v>1126</v>
      </c>
      <c r="D364" s="119" t="s">
        <v>1125</v>
      </c>
      <c r="E364" s="124" t="s">
        <v>597</v>
      </c>
      <c r="F364" s="121" t="s">
        <v>89</v>
      </c>
      <c r="G364" s="122">
        <v>5</v>
      </c>
      <c r="H364" s="122">
        <v>5</v>
      </c>
      <c r="I364" s="123">
        <v>3853.1</v>
      </c>
      <c r="J364" s="123">
        <v>3415</v>
      </c>
      <c r="K364" s="322">
        <v>193</v>
      </c>
      <c r="L364" s="117">
        <f>'Приложение 2 КСП 2018-2019 гг'!G366</f>
        <v>3450690</v>
      </c>
      <c r="M364" s="253">
        <v>0</v>
      </c>
      <c r="N364" s="253">
        <v>0</v>
      </c>
      <c r="O364" s="253">
        <v>0</v>
      </c>
      <c r="P364" s="253">
        <f t="shared" si="89"/>
        <v>3450690</v>
      </c>
      <c r="Q364" s="253">
        <v>0</v>
      </c>
      <c r="R364" s="144">
        <v>0</v>
      </c>
      <c r="S364" s="46" t="s">
        <v>586</v>
      </c>
      <c r="T364" s="41"/>
      <c r="U364" s="42"/>
    </row>
    <row r="365" spans="1:22" ht="9" hidden="1" customHeight="1">
      <c r="A365" s="252">
        <v>7</v>
      </c>
      <c r="B365" s="118" t="s">
        <v>624</v>
      </c>
      <c r="C365" s="213" t="s">
        <v>1126</v>
      </c>
      <c r="D365" s="119" t="s">
        <v>1125</v>
      </c>
      <c r="E365" s="124" t="s">
        <v>595</v>
      </c>
      <c r="F365" s="121" t="s">
        <v>89</v>
      </c>
      <c r="G365" s="122">
        <v>5</v>
      </c>
      <c r="H365" s="122">
        <v>3</v>
      </c>
      <c r="I365" s="123">
        <v>2324.1</v>
      </c>
      <c r="J365" s="123">
        <v>2028</v>
      </c>
      <c r="K365" s="322">
        <v>134</v>
      </c>
      <c r="L365" s="117">
        <f>'Приложение 2 КСП 2018-2019 гг'!G367</f>
        <v>2077082</v>
      </c>
      <c r="M365" s="253">
        <v>0</v>
      </c>
      <c r="N365" s="253">
        <v>0</v>
      </c>
      <c r="O365" s="253">
        <v>0</v>
      </c>
      <c r="P365" s="253">
        <f t="shared" si="89"/>
        <v>2077082</v>
      </c>
      <c r="Q365" s="253">
        <v>0</v>
      </c>
      <c r="R365" s="144">
        <v>0</v>
      </c>
      <c r="S365" s="46" t="s">
        <v>586</v>
      </c>
      <c r="T365" s="41"/>
      <c r="U365" s="42"/>
    </row>
    <row r="366" spans="1:22" ht="9" hidden="1" customHeight="1">
      <c r="A366" s="252">
        <v>8</v>
      </c>
      <c r="B366" s="118" t="s">
        <v>625</v>
      </c>
      <c r="C366" s="213" t="s">
        <v>1126</v>
      </c>
      <c r="D366" s="119" t="s">
        <v>1125</v>
      </c>
      <c r="E366" s="124" t="s">
        <v>610</v>
      </c>
      <c r="F366" s="121" t="s">
        <v>89</v>
      </c>
      <c r="G366" s="122">
        <v>5</v>
      </c>
      <c r="H366" s="122">
        <v>5</v>
      </c>
      <c r="I366" s="123">
        <v>3880.5</v>
      </c>
      <c r="J366" s="123">
        <v>3393</v>
      </c>
      <c r="K366" s="322">
        <v>206</v>
      </c>
      <c r="L366" s="117">
        <f>'Приложение 2 КСП 2018-2019 гг'!G368</f>
        <v>3540708</v>
      </c>
      <c r="M366" s="253">
        <v>0</v>
      </c>
      <c r="N366" s="253">
        <v>0</v>
      </c>
      <c r="O366" s="253">
        <v>0</v>
      </c>
      <c r="P366" s="253">
        <f t="shared" si="89"/>
        <v>3540708</v>
      </c>
      <c r="Q366" s="253">
        <v>0</v>
      </c>
      <c r="R366" s="144">
        <v>0</v>
      </c>
      <c r="S366" s="46" t="s">
        <v>586</v>
      </c>
      <c r="T366" s="41"/>
      <c r="U366" s="42"/>
    </row>
    <row r="367" spans="1:22" ht="9" hidden="1" customHeight="1">
      <c r="A367" s="252">
        <v>9</v>
      </c>
      <c r="B367" s="118" t="s">
        <v>626</v>
      </c>
      <c r="C367" s="213" t="s">
        <v>1126</v>
      </c>
      <c r="D367" s="119" t="s">
        <v>1125</v>
      </c>
      <c r="E367" s="124" t="s">
        <v>607</v>
      </c>
      <c r="F367" s="121" t="s">
        <v>89</v>
      </c>
      <c r="G367" s="122">
        <v>5</v>
      </c>
      <c r="H367" s="122">
        <v>4</v>
      </c>
      <c r="I367" s="123">
        <v>3971.9</v>
      </c>
      <c r="J367" s="123">
        <v>3576.9</v>
      </c>
      <c r="K367" s="322">
        <v>158</v>
      </c>
      <c r="L367" s="117">
        <f>'Приложение 2 КСП 2018-2019 гг'!G369</f>
        <v>3337334</v>
      </c>
      <c r="M367" s="253">
        <v>0</v>
      </c>
      <c r="N367" s="253">
        <v>0</v>
      </c>
      <c r="O367" s="253">
        <v>0</v>
      </c>
      <c r="P367" s="253">
        <f t="shared" si="89"/>
        <v>3337334</v>
      </c>
      <c r="Q367" s="253">
        <v>0</v>
      </c>
      <c r="R367" s="144">
        <v>0</v>
      </c>
      <c r="S367" s="46" t="s">
        <v>586</v>
      </c>
      <c r="T367" s="41"/>
      <c r="U367" s="42"/>
    </row>
    <row r="368" spans="1:22" ht="9" hidden="1" customHeight="1">
      <c r="A368" s="252">
        <v>10</v>
      </c>
      <c r="B368" s="118" t="s">
        <v>627</v>
      </c>
      <c r="C368" s="213" t="s">
        <v>1126</v>
      </c>
      <c r="D368" s="119" t="s">
        <v>1125</v>
      </c>
      <c r="E368" s="124" t="s">
        <v>603</v>
      </c>
      <c r="F368" s="121" t="s">
        <v>89</v>
      </c>
      <c r="G368" s="122">
        <v>5</v>
      </c>
      <c r="H368" s="122">
        <v>4</v>
      </c>
      <c r="I368" s="123">
        <v>3650.4</v>
      </c>
      <c r="J368" s="123">
        <v>3222.6</v>
      </c>
      <c r="K368" s="322">
        <v>156</v>
      </c>
      <c r="L368" s="117">
        <f>'Приложение 2 КСП 2018-2019 гг'!G370</f>
        <v>2770554</v>
      </c>
      <c r="M368" s="253">
        <v>0</v>
      </c>
      <c r="N368" s="253">
        <v>0</v>
      </c>
      <c r="O368" s="253">
        <v>0</v>
      </c>
      <c r="P368" s="253">
        <f t="shared" si="89"/>
        <v>2770554</v>
      </c>
      <c r="Q368" s="253">
        <v>0</v>
      </c>
      <c r="R368" s="144">
        <v>0</v>
      </c>
      <c r="S368" s="46" t="s">
        <v>586</v>
      </c>
      <c r="T368" s="41"/>
      <c r="U368" s="42"/>
    </row>
    <row r="369" spans="1:21" ht="9" hidden="1" customHeight="1">
      <c r="A369" s="252">
        <v>11</v>
      </c>
      <c r="B369" s="118" t="s">
        <v>628</v>
      </c>
      <c r="C369" s="213" t="s">
        <v>1126</v>
      </c>
      <c r="D369" s="119" t="s">
        <v>1125</v>
      </c>
      <c r="E369" s="124" t="s">
        <v>296</v>
      </c>
      <c r="F369" s="121" t="s">
        <v>89</v>
      </c>
      <c r="G369" s="122">
        <v>5</v>
      </c>
      <c r="H369" s="122">
        <v>4</v>
      </c>
      <c r="I369" s="123">
        <v>3192.4</v>
      </c>
      <c r="J369" s="123">
        <v>2850.4</v>
      </c>
      <c r="K369" s="322">
        <v>128</v>
      </c>
      <c r="L369" s="117">
        <f>'Приложение 2 КСП 2018-2019 гг'!G371</f>
        <v>2427152</v>
      </c>
      <c r="M369" s="253">
        <v>0</v>
      </c>
      <c r="N369" s="253">
        <v>0</v>
      </c>
      <c r="O369" s="253">
        <v>0</v>
      </c>
      <c r="P369" s="253">
        <f t="shared" si="89"/>
        <v>2427152</v>
      </c>
      <c r="Q369" s="253">
        <v>0</v>
      </c>
      <c r="R369" s="144">
        <v>0</v>
      </c>
      <c r="S369" s="46" t="s">
        <v>586</v>
      </c>
      <c r="T369" s="41"/>
      <c r="U369" s="42"/>
    </row>
    <row r="370" spans="1:21" ht="9" hidden="1" customHeight="1">
      <c r="A370" s="252">
        <v>12</v>
      </c>
      <c r="B370" s="118" t="s">
        <v>629</v>
      </c>
      <c r="C370" s="213" t="s">
        <v>1126</v>
      </c>
      <c r="D370" s="119" t="s">
        <v>1125</v>
      </c>
      <c r="E370" s="124" t="s">
        <v>588</v>
      </c>
      <c r="F370" s="121" t="s">
        <v>89</v>
      </c>
      <c r="G370" s="122">
        <v>5</v>
      </c>
      <c r="H370" s="122">
        <v>4</v>
      </c>
      <c r="I370" s="123">
        <v>3636.8</v>
      </c>
      <c r="J370" s="123">
        <v>3206</v>
      </c>
      <c r="K370" s="322">
        <v>152</v>
      </c>
      <c r="L370" s="117">
        <f>'Приложение 2 КСП 2018-2019 гг'!G372</f>
        <v>2770554</v>
      </c>
      <c r="M370" s="253">
        <v>0</v>
      </c>
      <c r="N370" s="253">
        <v>0</v>
      </c>
      <c r="O370" s="253">
        <v>0</v>
      </c>
      <c r="P370" s="253">
        <f t="shared" si="89"/>
        <v>2770554</v>
      </c>
      <c r="Q370" s="253">
        <v>0</v>
      </c>
      <c r="R370" s="144">
        <v>0</v>
      </c>
      <c r="S370" s="46" t="s">
        <v>586</v>
      </c>
      <c r="T370" s="41"/>
      <c r="U370" s="42"/>
    </row>
    <row r="371" spans="1:21" ht="9" hidden="1" customHeight="1">
      <c r="A371" s="252">
        <v>13</v>
      </c>
      <c r="B371" s="118" t="s">
        <v>630</v>
      </c>
      <c r="C371" s="213" t="s">
        <v>1126</v>
      </c>
      <c r="D371" s="119" t="s">
        <v>1125</v>
      </c>
      <c r="E371" s="124" t="s">
        <v>614</v>
      </c>
      <c r="F371" s="121" t="s">
        <v>87</v>
      </c>
      <c r="G371" s="122">
        <v>5</v>
      </c>
      <c r="H371" s="122">
        <v>1</v>
      </c>
      <c r="I371" s="123">
        <v>2532.6</v>
      </c>
      <c r="J371" s="123">
        <v>2455.5</v>
      </c>
      <c r="K371" s="322">
        <v>145</v>
      </c>
      <c r="L371" s="117">
        <f>'Приложение 2 КСП 2018-2019 гг'!G373</f>
        <v>2847236</v>
      </c>
      <c r="M371" s="253">
        <v>0</v>
      </c>
      <c r="N371" s="253">
        <v>0</v>
      </c>
      <c r="O371" s="253">
        <v>0</v>
      </c>
      <c r="P371" s="253">
        <f t="shared" si="89"/>
        <v>2847236</v>
      </c>
      <c r="Q371" s="253">
        <v>0</v>
      </c>
      <c r="R371" s="144">
        <v>0</v>
      </c>
      <c r="S371" s="46" t="s">
        <v>586</v>
      </c>
      <c r="T371" s="41"/>
      <c r="U371" s="42"/>
    </row>
    <row r="372" spans="1:21" ht="9" hidden="1" customHeight="1">
      <c r="A372" s="252">
        <v>14</v>
      </c>
      <c r="B372" s="118" t="s">
        <v>631</v>
      </c>
      <c r="C372" s="213" t="s">
        <v>1126</v>
      </c>
      <c r="D372" s="119" t="s">
        <v>1125</v>
      </c>
      <c r="E372" s="124" t="s">
        <v>590</v>
      </c>
      <c r="F372" s="121" t="s">
        <v>87</v>
      </c>
      <c r="G372" s="122">
        <v>5</v>
      </c>
      <c r="H372" s="122">
        <v>1</v>
      </c>
      <c r="I372" s="123">
        <v>2511.1999999999998</v>
      </c>
      <c r="J372" s="123">
        <v>2443.9</v>
      </c>
      <c r="K372" s="322">
        <v>164</v>
      </c>
      <c r="L372" s="117">
        <f>'Приложение 2 КСП 2018-2019 гг'!G374</f>
        <v>2847236</v>
      </c>
      <c r="M372" s="253">
        <v>0</v>
      </c>
      <c r="N372" s="253">
        <v>0</v>
      </c>
      <c r="O372" s="253">
        <v>0</v>
      </c>
      <c r="P372" s="253">
        <f t="shared" si="89"/>
        <v>2847236</v>
      </c>
      <c r="Q372" s="253">
        <v>0</v>
      </c>
      <c r="R372" s="144">
        <v>0</v>
      </c>
      <c r="S372" s="46" t="s">
        <v>586</v>
      </c>
      <c r="T372" s="41"/>
      <c r="U372" s="42"/>
    </row>
    <row r="373" spans="1:21" ht="9" hidden="1" customHeight="1">
      <c r="A373" s="252">
        <v>15</v>
      </c>
      <c r="B373" s="118" t="s">
        <v>632</v>
      </c>
      <c r="C373" s="213" t="s">
        <v>1126</v>
      </c>
      <c r="D373" s="119" t="s">
        <v>1125</v>
      </c>
      <c r="E373" s="124" t="s">
        <v>587</v>
      </c>
      <c r="F373" s="121" t="s">
        <v>89</v>
      </c>
      <c r="G373" s="122">
        <v>5</v>
      </c>
      <c r="H373" s="122">
        <v>4</v>
      </c>
      <c r="I373" s="123">
        <v>3834.3</v>
      </c>
      <c r="J373" s="123">
        <v>3555.3</v>
      </c>
      <c r="K373" s="322">
        <v>180</v>
      </c>
      <c r="L373" s="117">
        <f>'Приложение 2 КСП 2018-2019 гг'!G375</f>
        <v>3317330</v>
      </c>
      <c r="M373" s="253">
        <v>0</v>
      </c>
      <c r="N373" s="253">
        <v>0</v>
      </c>
      <c r="O373" s="253">
        <v>0</v>
      </c>
      <c r="P373" s="253">
        <f t="shared" si="89"/>
        <v>3317330</v>
      </c>
      <c r="Q373" s="253">
        <v>0</v>
      </c>
      <c r="R373" s="144">
        <v>0</v>
      </c>
      <c r="S373" s="46" t="s">
        <v>586</v>
      </c>
      <c r="T373" s="41"/>
      <c r="U373" s="42"/>
    </row>
    <row r="374" spans="1:21" ht="9" hidden="1" customHeight="1">
      <c r="A374" s="252">
        <v>16</v>
      </c>
      <c r="B374" s="118" t="s">
        <v>633</v>
      </c>
      <c r="C374" s="213" t="s">
        <v>1126</v>
      </c>
      <c r="D374" s="119" t="s">
        <v>1125</v>
      </c>
      <c r="E374" s="124" t="s">
        <v>587</v>
      </c>
      <c r="F374" s="121" t="s">
        <v>89</v>
      </c>
      <c r="G374" s="122">
        <v>5</v>
      </c>
      <c r="H374" s="122">
        <v>4</v>
      </c>
      <c r="I374" s="123">
        <v>3894</v>
      </c>
      <c r="J374" s="123">
        <v>3588</v>
      </c>
      <c r="K374" s="322">
        <v>188</v>
      </c>
      <c r="L374" s="117">
        <f>'Приложение 2 КСП 2018-2019 гг'!G376</f>
        <v>3330666</v>
      </c>
      <c r="M374" s="253">
        <v>0</v>
      </c>
      <c r="N374" s="253">
        <v>0</v>
      </c>
      <c r="O374" s="253">
        <v>0</v>
      </c>
      <c r="P374" s="253">
        <f t="shared" si="89"/>
        <v>3330666</v>
      </c>
      <c r="Q374" s="253">
        <v>0</v>
      </c>
      <c r="R374" s="144">
        <v>0</v>
      </c>
      <c r="S374" s="46" t="s">
        <v>586</v>
      </c>
      <c r="T374" s="41"/>
      <c r="U374" s="42"/>
    </row>
    <row r="375" spans="1:21" ht="9" hidden="1" customHeight="1">
      <c r="A375" s="252">
        <v>17</v>
      </c>
      <c r="B375" s="118" t="s">
        <v>635</v>
      </c>
      <c r="C375" s="213" t="s">
        <v>1126</v>
      </c>
      <c r="D375" s="119" t="s">
        <v>1125</v>
      </c>
      <c r="E375" s="124" t="s">
        <v>587</v>
      </c>
      <c r="F375" s="121" t="s">
        <v>89</v>
      </c>
      <c r="G375" s="122">
        <v>5</v>
      </c>
      <c r="H375" s="122">
        <v>4</v>
      </c>
      <c r="I375" s="123">
        <v>3868.7</v>
      </c>
      <c r="J375" s="123">
        <v>3569.7</v>
      </c>
      <c r="K375" s="322">
        <v>170</v>
      </c>
      <c r="L375" s="117">
        <f>'Приложение 2 КСП 2018-2019 гг'!G377</f>
        <v>3000600</v>
      </c>
      <c r="M375" s="253">
        <v>0</v>
      </c>
      <c r="N375" s="253">
        <v>0</v>
      </c>
      <c r="O375" s="253">
        <v>0</v>
      </c>
      <c r="P375" s="253">
        <f t="shared" si="89"/>
        <v>3000600</v>
      </c>
      <c r="Q375" s="253">
        <v>0</v>
      </c>
      <c r="R375" s="144">
        <v>0</v>
      </c>
      <c r="S375" s="46" t="s">
        <v>586</v>
      </c>
      <c r="T375" s="41"/>
      <c r="U375" s="42"/>
    </row>
    <row r="376" spans="1:21" ht="9" hidden="1" customHeight="1">
      <c r="A376" s="252">
        <v>18</v>
      </c>
      <c r="B376" s="118" t="s">
        <v>636</v>
      </c>
      <c r="C376" s="213" t="s">
        <v>1126</v>
      </c>
      <c r="D376" s="119" t="s">
        <v>1125</v>
      </c>
      <c r="E376" s="124" t="s">
        <v>587</v>
      </c>
      <c r="F376" s="121" t="s">
        <v>89</v>
      </c>
      <c r="G376" s="122">
        <v>5</v>
      </c>
      <c r="H376" s="122">
        <v>4</v>
      </c>
      <c r="I376" s="123">
        <v>3864.6</v>
      </c>
      <c r="J376" s="123">
        <v>3545.6</v>
      </c>
      <c r="K376" s="322">
        <v>164</v>
      </c>
      <c r="L376" s="117">
        <f>'Приложение 2 КСП 2018-2019 гг'!G378</f>
        <v>3247316</v>
      </c>
      <c r="M376" s="253">
        <v>0</v>
      </c>
      <c r="N376" s="253">
        <v>0</v>
      </c>
      <c r="O376" s="253">
        <v>0</v>
      </c>
      <c r="P376" s="253">
        <f t="shared" si="89"/>
        <v>3247316</v>
      </c>
      <c r="Q376" s="253">
        <v>0</v>
      </c>
      <c r="R376" s="144">
        <v>0</v>
      </c>
      <c r="S376" s="46" t="s">
        <v>586</v>
      </c>
      <c r="T376" s="41"/>
      <c r="U376" s="42"/>
    </row>
    <row r="377" spans="1:21" ht="9" hidden="1" customHeight="1">
      <c r="A377" s="252">
        <v>19</v>
      </c>
      <c r="B377" s="118" t="s">
        <v>637</v>
      </c>
      <c r="C377" s="213" t="s">
        <v>1126</v>
      </c>
      <c r="D377" s="119" t="s">
        <v>1125</v>
      </c>
      <c r="E377" s="124" t="s">
        <v>596</v>
      </c>
      <c r="F377" s="121" t="s">
        <v>87</v>
      </c>
      <c r="G377" s="122">
        <v>9</v>
      </c>
      <c r="H377" s="122">
        <v>3</v>
      </c>
      <c r="I377" s="123">
        <v>6369.7</v>
      </c>
      <c r="J377" s="123">
        <v>5711</v>
      </c>
      <c r="K377" s="322">
        <v>188</v>
      </c>
      <c r="L377" s="117">
        <f>'Приложение 2 КСП 2018-2019 гг'!G379</f>
        <v>7001400</v>
      </c>
      <c r="M377" s="253">
        <v>0</v>
      </c>
      <c r="N377" s="253">
        <v>0</v>
      </c>
      <c r="O377" s="253">
        <v>0</v>
      </c>
      <c r="P377" s="253">
        <f t="shared" si="89"/>
        <v>7001400</v>
      </c>
      <c r="Q377" s="253">
        <v>0</v>
      </c>
      <c r="R377" s="144">
        <v>0</v>
      </c>
      <c r="S377" s="46" t="s">
        <v>586</v>
      </c>
      <c r="T377" s="41"/>
      <c r="U377" s="42"/>
    </row>
    <row r="378" spans="1:21" ht="9" hidden="1" customHeight="1">
      <c r="A378" s="252">
        <v>20</v>
      </c>
      <c r="B378" s="118" t="s">
        <v>638</v>
      </c>
      <c r="C378" s="213" t="s">
        <v>1126</v>
      </c>
      <c r="D378" s="119" t="s">
        <v>1125</v>
      </c>
      <c r="E378" s="124" t="s">
        <v>608</v>
      </c>
      <c r="F378" s="121" t="s">
        <v>89</v>
      </c>
      <c r="G378" s="122">
        <v>5</v>
      </c>
      <c r="H378" s="122">
        <v>3</v>
      </c>
      <c r="I378" s="123">
        <v>3163.8</v>
      </c>
      <c r="J378" s="123">
        <v>1992.5</v>
      </c>
      <c r="K378" s="322">
        <v>262</v>
      </c>
      <c r="L378" s="117">
        <f>'Приложение 2 КСП 2018-2019 гг'!G380</f>
        <v>2610522</v>
      </c>
      <c r="M378" s="253">
        <v>0</v>
      </c>
      <c r="N378" s="253">
        <v>0</v>
      </c>
      <c r="O378" s="253">
        <v>0</v>
      </c>
      <c r="P378" s="253">
        <f t="shared" si="89"/>
        <v>2610522</v>
      </c>
      <c r="Q378" s="253">
        <v>0</v>
      </c>
      <c r="R378" s="144">
        <v>0</v>
      </c>
      <c r="S378" s="46" t="s">
        <v>586</v>
      </c>
      <c r="T378" s="41"/>
      <c r="U378" s="42"/>
    </row>
    <row r="379" spans="1:21" ht="9" hidden="1" customHeight="1">
      <c r="A379" s="252">
        <v>21</v>
      </c>
      <c r="B379" s="118" t="s">
        <v>639</v>
      </c>
      <c r="C379" s="213" t="s">
        <v>1126</v>
      </c>
      <c r="D379" s="119" t="s">
        <v>1125</v>
      </c>
      <c r="E379" s="124" t="s">
        <v>609</v>
      </c>
      <c r="F379" s="121" t="s">
        <v>89</v>
      </c>
      <c r="G379" s="122">
        <v>5</v>
      </c>
      <c r="H379" s="122">
        <v>4</v>
      </c>
      <c r="I379" s="123">
        <v>3732.2</v>
      </c>
      <c r="J379" s="123">
        <v>3489</v>
      </c>
      <c r="K379" s="322">
        <v>188</v>
      </c>
      <c r="L379" s="117">
        <f>'Приложение 2 КСП 2018-2019 гг'!G381</f>
        <v>3218310.2</v>
      </c>
      <c r="M379" s="253">
        <v>0</v>
      </c>
      <c r="N379" s="253">
        <v>0</v>
      </c>
      <c r="O379" s="253">
        <v>0</v>
      </c>
      <c r="P379" s="253">
        <f t="shared" si="89"/>
        <v>3218310.2</v>
      </c>
      <c r="Q379" s="253">
        <v>0</v>
      </c>
      <c r="R379" s="144">
        <v>0</v>
      </c>
      <c r="S379" s="46" t="s">
        <v>586</v>
      </c>
      <c r="T379" s="41"/>
      <c r="U379" s="42"/>
    </row>
    <row r="380" spans="1:21" ht="9" hidden="1" customHeight="1">
      <c r="A380" s="252">
        <v>22</v>
      </c>
      <c r="B380" s="118" t="s">
        <v>640</v>
      </c>
      <c r="C380" s="213" t="s">
        <v>1126</v>
      </c>
      <c r="D380" s="119" t="s">
        <v>1125</v>
      </c>
      <c r="E380" s="124" t="s">
        <v>600</v>
      </c>
      <c r="F380" s="121" t="s">
        <v>89</v>
      </c>
      <c r="G380" s="122">
        <v>5</v>
      </c>
      <c r="H380" s="122">
        <v>6</v>
      </c>
      <c r="I380" s="123">
        <v>4641.3999999999996</v>
      </c>
      <c r="J380" s="123">
        <v>4272.3999999999996</v>
      </c>
      <c r="K380" s="322">
        <v>206</v>
      </c>
      <c r="L380" s="117">
        <f>'Приложение 2 КСП 2018-2019 гг'!G382</f>
        <v>3931786.2</v>
      </c>
      <c r="M380" s="253">
        <v>0</v>
      </c>
      <c r="N380" s="253">
        <v>0</v>
      </c>
      <c r="O380" s="253">
        <v>0</v>
      </c>
      <c r="P380" s="253">
        <f t="shared" si="89"/>
        <v>3931786.2</v>
      </c>
      <c r="Q380" s="253">
        <v>0</v>
      </c>
      <c r="R380" s="144">
        <v>0</v>
      </c>
      <c r="S380" s="46" t="s">
        <v>586</v>
      </c>
      <c r="T380" s="41"/>
      <c r="U380" s="42"/>
    </row>
    <row r="381" spans="1:21" ht="9" hidden="1" customHeight="1">
      <c r="A381" s="252">
        <v>23</v>
      </c>
      <c r="B381" s="118" t="s">
        <v>641</v>
      </c>
      <c r="C381" s="213" t="s">
        <v>1126</v>
      </c>
      <c r="D381" s="119" t="s">
        <v>1125</v>
      </c>
      <c r="E381" s="124" t="s">
        <v>614</v>
      </c>
      <c r="F381" s="121" t="s">
        <v>89</v>
      </c>
      <c r="G381" s="122">
        <v>5</v>
      </c>
      <c r="H381" s="122">
        <v>10</v>
      </c>
      <c r="I381" s="123">
        <v>7313</v>
      </c>
      <c r="J381" s="123">
        <v>6688</v>
      </c>
      <c r="K381" s="322">
        <v>378</v>
      </c>
      <c r="L381" s="117">
        <f>'Приложение 2 КСП 2018-2019 гг'!G383</f>
        <v>11589702.08</v>
      </c>
      <c r="M381" s="253">
        <v>0</v>
      </c>
      <c r="N381" s="253">
        <v>0</v>
      </c>
      <c r="O381" s="253">
        <v>0</v>
      </c>
      <c r="P381" s="253">
        <f t="shared" si="89"/>
        <v>11589702.08</v>
      </c>
      <c r="Q381" s="253">
        <v>0</v>
      </c>
      <c r="R381" s="144">
        <v>0</v>
      </c>
      <c r="S381" s="46" t="s">
        <v>586</v>
      </c>
      <c r="T381" s="41"/>
      <c r="U381" s="42"/>
    </row>
    <row r="382" spans="1:21" ht="9" hidden="1" customHeight="1">
      <c r="A382" s="252">
        <v>24</v>
      </c>
      <c r="B382" s="118" t="s">
        <v>642</v>
      </c>
      <c r="C382" s="213" t="s">
        <v>1126</v>
      </c>
      <c r="D382" s="119" t="s">
        <v>1125</v>
      </c>
      <c r="E382" s="124" t="s">
        <v>593</v>
      </c>
      <c r="F382" s="121" t="s">
        <v>87</v>
      </c>
      <c r="G382" s="122">
        <v>5</v>
      </c>
      <c r="H382" s="122">
        <v>1</v>
      </c>
      <c r="I382" s="123">
        <v>4081.3</v>
      </c>
      <c r="J382" s="123">
        <v>2691.4</v>
      </c>
      <c r="K382" s="322">
        <v>286</v>
      </c>
      <c r="L382" s="117">
        <f>'Приложение 2 КСП 2018-2019 гг'!G384</f>
        <v>3604054</v>
      </c>
      <c r="M382" s="253">
        <v>0</v>
      </c>
      <c r="N382" s="253">
        <v>0</v>
      </c>
      <c r="O382" s="253">
        <v>0</v>
      </c>
      <c r="P382" s="253">
        <f t="shared" si="89"/>
        <v>3604054</v>
      </c>
      <c r="Q382" s="253">
        <v>0</v>
      </c>
      <c r="R382" s="144">
        <v>0</v>
      </c>
      <c r="S382" s="46" t="s">
        <v>586</v>
      </c>
      <c r="T382" s="41"/>
      <c r="U382" s="42"/>
    </row>
    <row r="383" spans="1:21" ht="9" hidden="1" customHeight="1">
      <c r="A383" s="252">
        <v>25</v>
      </c>
      <c r="B383" s="118" t="s">
        <v>643</v>
      </c>
      <c r="C383" s="213" t="s">
        <v>1126</v>
      </c>
      <c r="D383" s="119" t="s">
        <v>1125</v>
      </c>
      <c r="E383" s="124" t="s">
        <v>296</v>
      </c>
      <c r="F383" s="121" t="s">
        <v>87</v>
      </c>
      <c r="G383" s="122">
        <v>5</v>
      </c>
      <c r="H383" s="122">
        <v>1</v>
      </c>
      <c r="I383" s="123">
        <v>2731.4</v>
      </c>
      <c r="J383" s="123">
        <v>2434.4</v>
      </c>
      <c r="K383" s="322">
        <v>18</v>
      </c>
      <c r="L383" s="117">
        <f>'Приложение 2 КСП 2018-2019 гг'!G385</f>
        <v>2770554</v>
      </c>
      <c r="M383" s="253">
        <v>0</v>
      </c>
      <c r="N383" s="253">
        <v>0</v>
      </c>
      <c r="O383" s="253">
        <v>0</v>
      </c>
      <c r="P383" s="253">
        <f t="shared" si="89"/>
        <v>2770554</v>
      </c>
      <c r="Q383" s="253">
        <v>0</v>
      </c>
      <c r="R383" s="144">
        <v>0</v>
      </c>
      <c r="S383" s="46" t="s">
        <v>586</v>
      </c>
      <c r="T383" s="41"/>
      <c r="U383" s="42"/>
    </row>
    <row r="384" spans="1:21" ht="9" hidden="1" customHeight="1">
      <c r="A384" s="252">
        <v>26</v>
      </c>
      <c r="B384" s="118" t="s">
        <v>644</v>
      </c>
      <c r="C384" s="213" t="s">
        <v>1126</v>
      </c>
      <c r="D384" s="119" t="s">
        <v>1125</v>
      </c>
      <c r="E384" s="124" t="s">
        <v>607</v>
      </c>
      <c r="F384" s="121" t="s">
        <v>89</v>
      </c>
      <c r="G384" s="122">
        <v>5</v>
      </c>
      <c r="H384" s="122">
        <v>4</v>
      </c>
      <c r="I384" s="123">
        <v>3816.8</v>
      </c>
      <c r="J384" s="123">
        <v>3524.8</v>
      </c>
      <c r="K384" s="322">
        <v>181</v>
      </c>
      <c r="L384" s="117">
        <f>'Приложение 2 КСП 2018-2019 гг'!G386</f>
        <v>2121929.6</v>
      </c>
      <c r="M384" s="253">
        <v>0</v>
      </c>
      <c r="N384" s="253">
        <v>0</v>
      </c>
      <c r="O384" s="253">
        <v>0</v>
      </c>
      <c r="P384" s="253">
        <f t="shared" si="89"/>
        <v>2121929.6</v>
      </c>
      <c r="Q384" s="253">
        <v>0</v>
      </c>
      <c r="R384" s="144">
        <v>0</v>
      </c>
      <c r="S384" s="46" t="s">
        <v>586</v>
      </c>
      <c r="T384" s="41"/>
      <c r="U384" s="42"/>
    </row>
    <row r="385" spans="1:21" ht="9" hidden="1" customHeight="1">
      <c r="A385" s="252">
        <v>27</v>
      </c>
      <c r="B385" s="118" t="s">
        <v>645</v>
      </c>
      <c r="C385" s="213" t="s">
        <v>1126</v>
      </c>
      <c r="D385" s="119" t="s">
        <v>1125</v>
      </c>
      <c r="E385" s="124" t="s">
        <v>609</v>
      </c>
      <c r="F385" s="121" t="s">
        <v>89</v>
      </c>
      <c r="G385" s="122">
        <v>5</v>
      </c>
      <c r="H385" s="122">
        <v>4</v>
      </c>
      <c r="I385" s="123">
        <v>3781</v>
      </c>
      <c r="J385" s="123">
        <v>3483</v>
      </c>
      <c r="K385" s="322">
        <v>17</v>
      </c>
      <c r="L385" s="117">
        <f>'Приложение 2 КСП 2018-2019 гг'!G387</f>
        <v>3000600</v>
      </c>
      <c r="M385" s="253">
        <v>0</v>
      </c>
      <c r="N385" s="253">
        <v>0</v>
      </c>
      <c r="O385" s="253">
        <v>0</v>
      </c>
      <c r="P385" s="253">
        <f t="shared" si="89"/>
        <v>3000600</v>
      </c>
      <c r="Q385" s="253">
        <v>0</v>
      </c>
      <c r="R385" s="144">
        <v>0</v>
      </c>
      <c r="S385" s="46" t="s">
        <v>586</v>
      </c>
      <c r="T385" s="41"/>
      <c r="U385" s="42"/>
    </row>
    <row r="386" spans="1:21" ht="9" hidden="1" customHeight="1">
      <c r="A386" s="252">
        <v>28</v>
      </c>
      <c r="B386" s="118" t="s">
        <v>646</v>
      </c>
      <c r="C386" s="213" t="s">
        <v>1126</v>
      </c>
      <c r="D386" s="119" t="s">
        <v>1125</v>
      </c>
      <c r="E386" s="124" t="s">
        <v>741</v>
      </c>
      <c r="F386" s="121" t="s">
        <v>87</v>
      </c>
      <c r="G386" s="122">
        <v>5</v>
      </c>
      <c r="H386" s="122">
        <v>2</v>
      </c>
      <c r="I386" s="123">
        <v>1877.2</v>
      </c>
      <c r="J386" s="123">
        <v>1660.4</v>
      </c>
      <c r="K386" s="322">
        <v>78</v>
      </c>
      <c r="L386" s="117">
        <f>'Приложение 2 КСП 2018-2019 гг'!G388</f>
        <v>2092398</v>
      </c>
      <c r="M386" s="253">
        <v>0</v>
      </c>
      <c r="N386" s="253">
        <v>0</v>
      </c>
      <c r="O386" s="253">
        <v>0</v>
      </c>
      <c r="P386" s="253">
        <f t="shared" si="89"/>
        <v>2092398</v>
      </c>
      <c r="Q386" s="253">
        <v>0</v>
      </c>
      <c r="R386" s="144">
        <v>0</v>
      </c>
      <c r="S386" s="46" t="s">
        <v>586</v>
      </c>
      <c r="T386" s="41"/>
      <c r="U386" s="42"/>
    </row>
    <row r="387" spans="1:21" ht="9" hidden="1" customHeight="1">
      <c r="A387" s="252">
        <v>29</v>
      </c>
      <c r="B387" s="118" t="s">
        <v>647</v>
      </c>
      <c r="C387" s="213" t="s">
        <v>1126</v>
      </c>
      <c r="D387" s="119" t="s">
        <v>1125</v>
      </c>
      <c r="E387" s="124" t="s">
        <v>591</v>
      </c>
      <c r="F387" s="121" t="s">
        <v>89</v>
      </c>
      <c r="G387" s="122">
        <v>5</v>
      </c>
      <c r="H387" s="122">
        <v>4</v>
      </c>
      <c r="I387" s="123">
        <v>3829.9</v>
      </c>
      <c r="J387" s="123">
        <v>3517.9</v>
      </c>
      <c r="K387" s="322">
        <v>100</v>
      </c>
      <c r="L387" s="117">
        <f>'Приложение 2 КСП 2018-2019 гг'!G389</f>
        <v>3213976</v>
      </c>
      <c r="M387" s="253">
        <v>0</v>
      </c>
      <c r="N387" s="253">
        <v>0</v>
      </c>
      <c r="O387" s="253">
        <v>0</v>
      </c>
      <c r="P387" s="253">
        <f t="shared" si="89"/>
        <v>3213976</v>
      </c>
      <c r="Q387" s="253">
        <v>0</v>
      </c>
      <c r="R387" s="144">
        <v>0</v>
      </c>
      <c r="S387" s="46" t="s">
        <v>586</v>
      </c>
      <c r="T387" s="41"/>
      <c r="U387" s="42"/>
    </row>
    <row r="388" spans="1:21" ht="9" hidden="1" customHeight="1">
      <c r="A388" s="252">
        <v>30</v>
      </c>
      <c r="B388" s="118" t="s">
        <v>648</v>
      </c>
      <c r="C388" s="213" t="s">
        <v>1126</v>
      </c>
      <c r="D388" s="119" t="s">
        <v>1125</v>
      </c>
      <c r="E388" s="124" t="s">
        <v>592</v>
      </c>
      <c r="F388" s="121" t="s">
        <v>89</v>
      </c>
      <c r="G388" s="122">
        <v>5</v>
      </c>
      <c r="H388" s="122">
        <v>4</v>
      </c>
      <c r="I388" s="123">
        <v>3854</v>
      </c>
      <c r="J388" s="123">
        <v>3543</v>
      </c>
      <c r="K388" s="322">
        <v>36</v>
      </c>
      <c r="L388" s="117">
        <f>'Приложение 2 КСП 2018-2019 гг'!G390</f>
        <v>3270654</v>
      </c>
      <c r="M388" s="253">
        <v>0</v>
      </c>
      <c r="N388" s="253">
        <v>0</v>
      </c>
      <c r="O388" s="253">
        <v>0</v>
      </c>
      <c r="P388" s="253">
        <f t="shared" si="89"/>
        <v>3270654</v>
      </c>
      <c r="Q388" s="253">
        <v>0</v>
      </c>
      <c r="R388" s="144">
        <v>0</v>
      </c>
      <c r="S388" s="46" t="s">
        <v>586</v>
      </c>
      <c r="T388" s="41"/>
      <c r="U388" s="42"/>
    </row>
    <row r="389" spans="1:21" ht="9" hidden="1" customHeight="1">
      <c r="A389" s="252">
        <v>31</v>
      </c>
      <c r="B389" s="118" t="s">
        <v>649</v>
      </c>
      <c r="C389" s="213" t="s">
        <v>1126</v>
      </c>
      <c r="D389" s="119" t="s">
        <v>1125</v>
      </c>
      <c r="E389" s="124" t="s">
        <v>592</v>
      </c>
      <c r="F389" s="121" t="s">
        <v>89</v>
      </c>
      <c r="G389" s="122">
        <v>5</v>
      </c>
      <c r="H389" s="122">
        <v>4</v>
      </c>
      <c r="I389" s="123">
        <v>3847.5</v>
      </c>
      <c r="J389" s="123">
        <v>3546.1</v>
      </c>
      <c r="K389" s="322">
        <v>28</v>
      </c>
      <c r="L389" s="117">
        <f>'Приложение 2 КСП 2018-2019 гг'!G391</f>
        <v>3243982</v>
      </c>
      <c r="M389" s="253">
        <v>0</v>
      </c>
      <c r="N389" s="253">
        <v>0</v>
      </c>
      <c r="O389" s="253">
        <v>0</v>
      </c>
      <c r="P389" s="253">
        <f t="shared" si="89"/>
        <v>3243982</v>
      </c>
      <c r="Q389" s="253">
        <v>0</v>
      </c>
      <c r="R389" s="144">
        <v>0</v>
      </c>
      <c r="S389" s="46" t="s">
        <v>586</v>
      </c>
      <c r="T389" s="41"/>
      <c r="U389" s="42"/>
    </row>
    <row r="390" spans="1:21" ht="9" hidden="1" customHeight="1">
      <c r="A390" s="252">
        <v>32</v>
      </c>
      <c r="B390" s="118" t="s">
        <v>650</v>
      </c>
      <c r="C390" s="213" t="s">
        <v>1126</v>
      </c>
      <c r="D390" s="119" t="s">
        <v>1125</v>
      </c>
      <c r="E390" s="124" t="s">
        <v>603</v>
      </c>
      <c r="F390" s="121" t="s">
        <v>87</v>
      </c>
      <c r="G390" s="122">
        <v>5</v>
      </c>
      <c r="H390" s="122">
        <v>2</v>
      </c>
      <c r="I390" s="123">
        <v>4825.3999999999996</v>
      </c>
      <c r="J390" s="123">
        <v>2552.8000000000002</v>
      </c>
      <c r="K390" s="322">
        <v>268</v>
      </c>
      <c r="L390" s="117">
        <f>'Приложение 2 КСП 2018-2019 гг'!G392</f>
        <v>3800760</v>
      </c>
      <c r="M390" s="253">
        <v>0</v>
      </c>
      <c r="N390" s="253">
        <v>0</v>
      </c>
      <c r="O390" s="253">
        <v>0</v>
      </c>
      <c r="P390" s="253">
        <f t="shared" si="89"/>
        <v>3800760</v>
      </c>
      <c r="Q390" s="253">
        <v>0</v>
      </c>
      <c r="R390" s="144">
        <v>0</v>
      </c>
      <c r="S390" s="46" t="s">
        <v>586</v>
      </c>
      <c r="T390" s="41"/>
      <c r="U390" s="42"/>
    </row>
    <row r="391" spans="1:21" ht="9" hidden="1" customHeight="1">
      <c r="A391" s="252">
        <v>33</v>
      </c>
      <c r="B391" s="118" t="s">
        <v>651</v>
      </c>
      <c r="C391" s="213" t="s">
        <v>1126</v>
      </c>
      <c r="D391" s="119" t="s">
        <v>1125</v>
      </c>
      <c r="E391" s="124" t="s">
        <v>603</v>
      </c>
      <c r="F391" s="121" t="s">
        <v>87</v>
      </c>
      <c r="G391" s="122">
        <v>5</v>
      </c>
      <c r="H391" s="122">
        <v>1</v>
      </c>
      <c r="I391" s="123">
        <v>3991.3</v>
      </c>
      <c r="J391" s="123">
        <v>2652.1</v>
      </c>
      <c r="K391" s="322">
        <v>222</v>
      </c>
      <c r="L391" s="117">
        <f>'Приложение 2 КСП 2018-2019 гг'!G393</f>
        <v>3764086</v>
      </c>
      <c r="M391" s="253">
        <v>0</v>
      </c>
      <c r="N391" s="253">
        <v>0</v>
      </c>
      <c r="O391" s="253">
        <v>0</v>
      </c>
      <c r="P391" s="253">
        <f t="shared" si="89"/>
        <v>3764086</v>
      </c>
      <c r="Q391" s="253">
        <v>0</v>
      </c>
      <c r="R391" s="144">
        <v>0</v>
      </c>
      <c r="S391" s="46" t="s">
        <v>586</v>
      </c>
      <c r="T391" s="41"/>
      <c r="U391" s="42"/>
    </row>
    <row r="392" spans="1:21" ht="9" hidden="1" customHeight="1">
      <c r="A392" s="252">
        <v>34</v>
      </c>
      <c r="B392" s="118" t="s">
        <v>652</v>
      </c>
      <c r="C392" s="213" t="s">
        <v>1126</v>
      </c>
      <c r="D392" s="119" t="s">
        <v>1125</v>
      </c>
      <c r="E392" s="124" t="s">
        <v>588</v>
      </c>
      <c r="F392" s="121" t="s">
        <v>87</v>
      </c>
      <c r="G392" s="122">
        <v>9</v>
      </c>
      <c r="H392" s="122">
        <v>1</v>
      </c>
      <c r="I392" s="123">
        <v>6731.6</v>
      </c>
      <c r="J392" s="123">
        <v>3633.5</v>
      </c>
      <c r="K392" s="322">
        <v>349</v>
      </c>
      <c r="L392" s="117">
        <f>'Приложение 2 КСП 2018-2019 гг'!G394</f>
        <v>4117490</v>
      </c>
      <c r="M392" s="253">
        <v>0</v>
      </c>
      <c r="N392" s="253">
        <v>0</v>
      </c>
      <c r="O392" s="253">
        <v>0</v>
      </c>
      <c r="P392" s="253">
        <f t="shared" si="89"/>
        <v>4117490</v>
      </c>
      <c r="Q392" s="253">
        <v>0</v>
      </c>
      <c r="R392" s="144">
        <v>0</v>
      </c>
      <c r="S392" s="46" t="s">
        <v>586</v>
      </c>
      <c r="T392" s="41"/>
      <c r="U392" s="42"/>
    </row>
    <row r="393" spans="1:21" ht="9" hidden="1" customHeight="1">
      <c r="A393" s="252">
        <v>35</v>
      </c>
      <c r="B393" s="118" t="s">
        <v>653</v>
      </c>
      <c r="C393" s="213" t="s">
        <v>1126</v>
      </c>
      <c r="D393" s="119" t="s">
        <v>1125</v>
      </c>
      <c r="E393" s="124" t="s">
        <v>604</v>
      </c>
      <c r="F393" s="121" t="s">
        <v>87</v>
      </c>
      <c r="G393" s="122">
        <v>6</v>
      </c>
      <c r="H393" s="122">
        <v>1</v>
      </c>
      <c r="I393" s="123">
        <v>1214.25</v>
      </c>
      <c r="J393" s="123">
        <v>1072.0999999999999</v>
      </c>
      <c r="K393" s="322">
        <v>37</v>
      </c>
      <c r="L393" s="117">
        <f>'Приложение 2 КСП 2018-2019 гг'!G395</f>
        <v>833500</v>
      </c>
      <c r="M393" s="253">
        <v>0</v>
      </c>
      <c r="N393" s="253">
        <v>0</v>
      </c>
      <c r="O393" s="253">
        <v>0</v>
      </c>
      <c r="P393" s="253">
        <f t="shared" si="89"/>
        <v>833500</v>
      </c>
      <c r="Q393" s="253">
        <v>0</v>
      </c>
      <c r="R393" s="144">
        <v>0</v>
      </c>
      <c r="S393" s="46" t="s">
        <v>586</v>
      </c>
      <c r="T393" s="41"/>
      <c r="U393" s="42"/>
    </row>
    <row r="394" spans="1:21" ht="9" hidden="1" customHeight="1">
      <c r="A394" s="252">
        <v>36</v>
      </c>
      <c r="B394" s="118" t="s">
        <v>654</v>
      </c>
      <c r="C394" s="213" t="s">
        <v>1126</v>
      </c>
      <c r="D394" s="119" t="s">
        <v>1125</v>
      </c>
      <c r="E394" s="124" t="s">
        <v>591</v>
      </c>
      <c r="F394" s="121" t="s">
        <v>87</v>
      </c>
      <c r="G394" s="122">
        <v>5</v>
      </c>
      <c r="H394" s="122">
        <v>3</v>
      </c>
      <c r="I394" s="123">
        <v>2702.8</v>
      </c>
      <c r="J394" s="123">
        <v>2518.3000000000002</v>
      </c>
      <c r="K394" s="322">
        <v>122</v>
      </c>
      <c r="L394" s="117">
        <f>'Приложение 2 КСП 2018-2019 гг'!G396</f>
        <v>3104640</v>
      </c>
      <c r="M394" s="253">
        <v>0</v>
      </c>
      <c r="N394" s="253">
        <v>0</v>
      </c>
      <c r="O394" s="253">
        <v>0</v>
      </c>
      <c r="P394" s="253">
        <f t="shared" si="89"/>
        <v>3104640</v>
      </c>
      <c r="Q394" s="253">
        <v>0</v>
      </c>
      <c r="R394" s="144">
        <v>0</v>
      </c>
      <c r="S394" s="46" t="s">
        <v>586</v>
      </c>
      <c r="T394" s="41"/>
      <c r="U394" s="42"/>
    </row>
    <row r="395" spans="1:21" ht="9" hidden="1" customHeight="1">
      <c r="A395" s="252">
        <v>37</v>
      </c>
      <c r="B395" s="118" t="s">
        <v>655</v>
      </c>
      <c r="C395" s="213" t="s">
        <v>1126</v>
      </c>
      <c r="D395" s="119" t="s">
        <v>1125</v>
      </c>
      <c r="E395" s="124" t="s">
        <v>606</v>
      </c>
      <c r="F395" s="121" t="s">
        <v>87</v>
      </c>
      <c r="G395" s="122">
        <v>5</v>
      </c>
      <c r="H395" s="122">
        <v>4</v>
      </c>
      <c r="I395" s="123">
        <v>3634.1</v>
      </c>
      <c r="J395" s="123">
        <v>3239.1</v>
      </c>
      <c r="K395" s="322">
        <v>150</v>
      </c>
      <c r="L395" s="117">
        <f>'Приложение 2 КСП 2018-2019 гг'!G397</f>
        <v>3386677.2</v>
      </c>
      <c r="M395" s="253">
        <v>0</v>
      </c>
      <c r="N395" s="253">
        <v>0</v>
      </c>
      <c r="O395" s="253">
        <v>0</v>
      </c>
      <c r="P395" s="253">
        <f t="shared" si="89"/>
        <v>3386677.2</v>
      </c>
      <c r="Q395" s="253">
        <v>0</v>
      </c>
      <c r="R395" s="144">
        <v>0</v>
      </c>
      <c r="S395" s="46" t="s">
        <v>586</v>
      </c>
      <c r="T395" s="41"/>
      <c r="U395" s="42"/>
    </row>
    <row r="396" spans="1:21" ht="9" hidden="1" customHeight="1">
      <c r="A396" s="252">
        <v>38</v>
      </c>
      <c r="B396" s="118" t="s">
        <v>656</v>
      </c>
      <c r="C396" s="213" t="s">
        <v>1126</v>
      </c>
      <c r="D396" s="119" t="s">
        <v>1125</v>
      </c>
      <c r="E396" s="124" t="s">
        <v>587</v>
      </c>
      <c r="F396" s="121" t="s">
        <v>87</v>
      </c>
      <c r="G396" s="122">
        <v>5</v>
      </c>
      <c r="H396" s="122">
        <v>4</v>
      </c>
      <c r="I396" s="123">
        <v>3711.1</v>
      </c>
      <c r="J396" s="123">
        <v>3151.3</v>
      </c>
      <c r="K396" s="322">
        <v>147</v>
      </c>
      <c r="L396" s="117">
        <f>'Приложение 2 КСП 2018-2019 гг'!G398</f>
        <v>3484030</v>
      </c>
      <c r="M396" s="253">
        <v>0</v>
      </c>
      <c r="N396" s="253">
        <v>0</v>
      </c>
      <c r="O396" s="253">
        <v>0</v>
      </c>
      <c r="P396" s="253">
        <f t="shared" si="89"/>
        <v>3484030</v>
      </c>
      <c r="Q396" s="253">
        <v>0</v>
      </c>
      <c r="R396" s="144">
        <v>0</v>
      </c>
      <c r="S396" s="46" t="s">
        <v>586</v>
      </c>
      <c r="T396" s="41"/>
      <c r="U396" s="42"/>
    </row>
    <row r="397" spans="1:21" ht="9" hidden="1" customHeight="1">
      <c r="A397" s="252">
        <v>39</v>
      </c>
      <c r="B397" s="118" t="s">
        <v>657</v>
      </c>
      <c r="C397" s="213" t="s">
        <v>1126</v>
      </c>
      <c r="D397" s="119" t="s">
        <v>1125</v>
      </c>
      <c r="E397" s="124" t="s">
        <v>741</v>
      </c>
      <c r="F397" s="121" t="s">
        <v>87</v>
      </c>
      <c r="G397" s="122">
        <v>5</v>
      </c>
      <c r="H397" s="122">
        <v>3</v>
      </c>
      <c r="I397" s="123">
        <v>2830.5</v>
      </c>
      <c r="J397" s="123">
        <v>2529.1999999999998</v>
      </c>
      <c r="K397" s="322">
        <v>128</v>
      </c>
      <c r="L397" s="117">
        <f>'Приложение 2 КСП 2018-2019 гг'!G399</f>
        <v>2297126</v>
      </c>
      <c r="M397" s="253">
        <v>0</v>
      </c>
      <c r="N397" s="253">
        <v>0</v>
      </c>
      <c r="O397" s="253">
        <v>0</v>
      </c>
      <c r="P397" s="253">
        <f t="shared" si="89"/>
        <v>2297126</v>
      </c>
      <c r="Q397" s="253">
        <v>0</v>
      </c>
      <c r="R397" s="144">
        <v>0</v>
      </c>
      <c r="S397" s="46" t="s">
        <v>586</v>
      </c>
      <c r="T397" s="41"/>
      <c r="U397" s="42"/>
    </row>
    <row r="398" spans="1:21" ht="9" hidden="1" customHeight="1">
      <c r="A398" s="252">
        <v>40</v>
      </c>
      <c r="B398" s="118" t="s">
        <v>658</v>
      </c>
      <c r="C398" s="213" t="s">
        <v>1126</v>
      </c>
      <c r="D398" s="119" t="s">
        <v>1125</v>
      </c>
      <c r="E398" s="124" t="s">
        <v>602</v>
      </c>
      <c r="F398" s="121" t="s">
        <v>87</v>
      </c>
      <c r="G398" s="122">
        <v>5</v>
      </c>
      <c r="H398" s="122">
        <v>3</v>
      </c>
      <c r="I398" s="123">
        <v>3061.1</v>
      </c>
      <c r="J398" s="123">
        <v>2706.6</v>
      </c>
      <c r="K398" s="322">
        <v>58</v>
      </c>
      <c r="L398" s="117">
        <f>'Приложение 2 КСП 2018-2019 гг'!G400</f>
        <v>3453912</v>
      </c>
      <c r="M398" s="253">
        <v>0</v>
      </c>
      <c r="N398" s="253">
        <v>0</v>
      </c>
      <c r="O398" s="253">
        <v>0</v>
      </c>
      <c r="P398" s="253">
        <f t="shared" si="89"/>
        <v>3453912</v>
      </c>
      <c r="Q398" s="253">
        <v>0</v>
      </c>
      <c r="R398" s="144">
        <v>0</v>
      </c>
      <c r="S398" s="46" t="s">
        <v>586</v>
      </c>
      <c r="T398" s="41"/>
      <c r="U398" s="42"/>
    </row>
    <row r="399" spans="1:21" ht="9" hidden="1" customHeight="1">
      <c r="A399" s="252">
        <v>41</v>
      </c>
      <c r="B399" s="118" t="s">
        <v>659</v>
      </c>
      <c r="C399" s="213" t="s">
        <v>1126</v>
      </c>
      <c r="D399" s="119" t="s">
        <v>1125</v>
      </c>
      <c r="E399" s="124" t="s">
        <v>607</v>
      </c>
      <c r="F399" s="121" t="s">
        <v>89</v>
      </c>
      <c r="G399" s="122">
        <v>5</v>
      </c>
      <c r="H399" s="122">
        <v>4</v>
      </c>
      <c r="I399" s="123">
        <v>3983.8</v>
      </c>
      <c r="J399" s="123">
        <v>3586.8</v>
      </c>
      <c r="K399" s="322">
        <v>134</v>
      </c>
      <c r="L399" s="117">
        <f>'Приложение 2 КСП 2018-2019 гг'!G401</f>
        <v>3897446</v>
      </c>
      <c r="M399" s="253">
        <v>0</v>
      </c>
      <c r="N399" s="253">
        <v>0</v>
      </c>
      <c r="O399" s="253">
        <v>0</v>
      </c>
      <c r="P399" s="253">
        <f t="shared" si="89"/>
        <v>3897446</v>
      </c>
      <c r="Q399" s="253">
        <v>0</v>
      </c>
      <c r="R399" s="144">
        <v>0</v>
      </c>
      <c r="S399" s="46" t="s">
        <v>586</v>
      </c>
      <c r="T399" s="41"/>
      <c r="U399" s="42"/>
    </row>
    <row r="400" spans="1:21" ht="9" hidden="1" customHeight="1">
      <c r="A400" s="252">
        <v>42</v>
      </c>
      <c r="B400" s="118" t="s">
        <v>660</v>
      </c>
      <c r="C400" s="213" t="s">
        <v>1126</v>
      </c>
      <c r="D400" s="119" t="s">
        <v>1125</v>
      </c>
      <c r="E400" s="124" t="s">
        <v>325</v>
      </c>
      <c r="F400" s="121" t="s">
        <v>87</v>
      </c>
      <c r="G400" s="122">
        <v>5</v>
      </c>
      <c r="H400" s="122">
        <v>8</v>
      </c>
      <c r="I400" s="123">
        <v>9035.6</v>
      </c>
      <c r="J400" s="123">
        <v>5705.4</v>
      </c>
      <c r="K400" s="322">
        <v>235</v>
      </c>
      <c r="L400" s="117">
        <f>'Приложение 2 КСП 2018-2019 гг'!G402</f>
        <v>8335000</v>
      </c>
      <c r="M400" s="253">
        <v>0</v>
      </c>
      <c r="N400" s="253">
        <v>0</v>
      </c>
      <c r="O400" s="253">
        <v>0</v>
      </c>
      <c r="P400" s="253">
        <f t="shared" si="89"/>
        <v>8335000</v>
      </c>
      <c r="Q400" s="253">
        <v>0</v>
      </c>
      <c r="R400" s="144">
        <v>0</v>
      </c>
      <c r="S400" s="46" t="s">
        <v>586</v>
      </c>
      <c r="T400" s="41"/>
      <c r="U400" s="42"/>
    </row>
    <row r="401" spans="1:21" ht="9" hidden="1" customHeight="1">
      <c r="A401" s="252">
        <v>43</v>
      </c>
      <c r="B401" s="118" t="s">
        <v>661</v>
      </c>
      <c r="C401" s="213" t="s">
        <v>1126</v>
      </c>
      <c r="D401" s="119" t="s">
        <v>1125</v>
      </c>
      <c r="E401" s="124" t="s">
        <v>609</v>
      </c>
      <c r="F401" s="121" t="s">
        <v>87</v>
      </c>
      <c r="G401" s="122">
        <v>5</v>
      </c>
      <c r="H401" s="122">
        <v>6</v>
      </c>
      <c r="I401" s="123">
        <v>6465.15</v>
      </c>
      <c r="J401" s="123">
        <v>3841.74</v>
      </c>
      <c r="K401" s="322">
        <v>180</v>
      </c>
      <c r="L401" s="117">
        <f>'Приложение 2 КСП 2018-2019 гг'!G403</f>
        <v>6024942</v>
      </c>
      <c r="M401" s="253">
        <v>0</v>
      </c>
      <c r="N401" s="253">
        <v>0</v>
      </c>
      <c r="O401" s="253">
        <v>0</v>
      </c>
      <c r="P401" s="253">
        <f t="shared" si="89"/>
        <v>6024942</v>
      </c>
      <c r="Q401" s="253">
        <v>0</v>
      </c>
      <c r="R401" s="144">
        <v>0</v>
      </c>
      <c r="S401" s="46" t="s">
        <v>586</v>
      </c>
      <c r="T401" s="41"/>
      <c r="U401" s="42"/>
    </row>
    <row r="402" spans="1:21" ht="9" hidden="1" customHeight="1">
      <c r="A402" s="252">
        <v>44</v>
      </c>
      <c r="B402" s="118" t="s">
        <v>662</v>
      </c>
      <c r="C402" s="213" t="s">
        <v>1126</v>
      </c>
      <c r="D402" s="119" t="s">
        <v>1125</v>
      </c>
      <c r="E402" s="124" t="s">
        <v>614</v>
      </c>
      <c r="F402" s="121" t="s">
        <v>87</v>
      </c>
      <c r="G402" s="122">
        <v>12</v>
      </c>
      <c r="H402" s="122">
        <v>1</v>
      </c>
      <c r="I402" s="123">
        <v>4783.5</v>
      </c>
      <c r="J402" s="123">
        <v>3925.3</v>
      </c>
      <c r="K402" s="322">
        <v>167</v>
      </c>
      <c r="L402" s="117">
        <f>'Приложение 2 КСП 2018-2019 гг'!G404</f>
        <v>3317330</v>
      </c>
      <c r="M402" s="253">
        <v>0</v>
      </c>
      <c r="N402" s="253">
        <v>0</v>
      </c>
      <c r="O402" s="253">
        <v>0</v>
      </c>
      <c r="P402" s="253">
        <f t="shared" si="89"/>
        <v>3317330</v>
      </c>
      <c r="Q402" s="253">
        <v>0</v>
      </c>
      <c r="R402" s="144">
        <v>0</v>
      </c>
      <c r="S402" s="46" t="s">
        <v>586</v>
      </c>
      <c r="T402" s="41"/>
      <c r="U402" s="42"/>
    </row>
    <row r="403" spans="1:21" ht="9" hidden="1" customHeight="1">
      <c r="A403" s="252">
        <v>45</v>
      </c>
      <c r="B403" s="118" t="s">
        <v>663</v>
      </c>
      <c r="C403" s="213" t="s">
        <v>1126</v>
      </c>
      <c r="D403" s="119" t="s">
        <v>1125</v>
      </c>
      <c r="E403" s="124" t="s">
        <v>606</v>
      </c>
      <c r="F403" s="121" t="s">
        <v>87</v>
      </c>
      <c r="G403" s="122">
        <v>5</v>
      </c>
      <c r="H403" s="122">
        <v>3</v>
      </c>
      <c r="I403" s="123">
        <v>2657.1</v>
      </c>
      <c r="J403" s="123">
        <v>2034.9</v>
      </c>
      <c r="K403" s="322">
        <v>151</v>
      </c>
      <c r="L403" s="117">
        <f>'Приложение 2 КСП 2018-2019 гг'!G405</f>
        <v>2781240</v>
      </c>
      <c r="M403" s="253">
        <v>0</v>
      </c>
      <c r="N403" s="253">
        <v>0</v>
      </c>
      <c r="O403" s="253">
        <v>0</v>
      </c>
      <c r="P403" s="253">
        <f t="shared" si="89"/>
        <v>2781240</v>
      </c>
      <c r="Q403" s="253">
        <v>0</v>
      </c>
      <c r="R403" s="144">
        <v>0</v>
      </c>
      <c r="S403" s="46" t="s">
        <v>586</v>
      </c>
      <c r="T403" s="41"/>
      <c r="U403" s="42"/>
    </row>
    <row r="404" spans="1:21" ht="9" hidden="1" customHeight="1">
      <c r="A404" s="252">
        <v>46</v>
      </c>
      <c r="B404" s="118" t="s">
        <v>664</v>
      </c>
      <c r="C404" s="213" t="s">
        <v>1126</v>
      </c>
      <c r="D404" s="119" t="s">
        <v>1125</v>
      </c>
      <c r="E404" s="124" t="s">
        <v>606</v>
      </c>
      <c r="F404" s="121" t="s">
        <v>89</v>
      </c>
      <c r="G404" s="122">
        <v>5</v>
      </c>
      <c r="H404" s="122">
        <v>4</v>
      </c>
      <c r="I404" s="123">
        <v>3781.8</v>
      </c>
      <c r="J404" s="123">
        <v>3477.8</v>
      </c>
      <c r="K404" s="322">
        <v>164</v>
      </c>
      <c r="L404" s="117">
        <f>'Приложение 2 КСП 2018-2019 гг'!G406</f>
        <v>3783780</v>
      </c>
      <c r="M404" s="253">
        <v>0</v>
      </c>
      <c r="N404" s="253">
        <v>0</v>
      </c>
      <c r="O404" s="253">
        <v>0</v>
      </c>
      <c r="P404" s="253">
        <f t="shared" si="89"/>
        <v>3783780</v>
      </c>
      <c r="Q404" s="253">
        <v>0</v>
      </c>
      <c r="R404" s="144">
        <v>0</v>
      </c>
      <c r="S404" s="46" t="s">
        <v>586</v>
      </c>
      <c r="T404" s="41"/>
      <c r="U404" s="42"/>
    </row>
    <row r="405" spans="1:21" ht="9" hidden="1" customHeight="1">
      <c r="A405" s="252">
        <v>47</v>
      </c>
      <c r="B405" s="118" t="s">
        <v>665</v>
      </c>
      <c r="C405" s="213" t="s">
        <v>1126</v>
      </c>
      <c r="D405" s="119" t="s">
        <v>1125</v>
      </c>
      <c r="E405" s="124" t="s">
        <v>591</v>
      </c>
      <c r="F405" s="121" t="s">
        <v>87</v>
      </c>
      <c r="G405" s="122">
        <v>5</v>
      </c>
      <c r="H405" s="122">
        <v>3</v>
      </c>
      <c r="I405" s="123">
        <v>2633.8</v>
      </c>
      <c r="J405" s="123">
        <v>2399.8000000000002</v>
      </c>
      <c r="K405" s="322">
        <v>100</v>
      </c>
      <c r="L405" s="117">
        <f>'Приложение 2 КСП 2018-2019 гг'!G407</f>
        <v>2868558</v>
      </c>
      <c r="M405" s="253">
        <v>0</v>
      </c>
      <c r="N405" s="253">
        <v>0</v>
      </c>
      <c r="O405" s="253">
        <v>0</v>
      </c>
      <c r="P405" s="253">
        <f t="shared" si="89"/>
        <v>2868558</v>
      </c>
      <c r="Q405" s="253">
        <v>0</v>
      </c>
      <c r="R405" s="144">
        <v>0</v>
      </c>
      <c r="S405" s="46" t="s">
        <v>586</v>
      </c>
      <c r="T405" s="41"/>
      <c r="U405" s="42"/>
    </row>
    <row r="406" spans="1:21" ht="9" hidden="1" customHeight="1">
      <c r="A406" s="252">
        <v>48</v>
      </c>
      <c r="B406" s="118" t="s">
        <v>666</v>
      </c>
      <c r="C406" s="213" t="s">
        <v>1126</v>
      </c>
      <c r="D406" s="119" t="s">
        <v>1125</v>
      </c>
      <c r="E406" s="124" t="s">
        <v>591</v>
      </c>
      <c r="F406" s="121" t="s">
        <v>87</v>
      </c>
      <c r="G406" s="122">
        <v>5</v>
      </c>
      <c r="H406" s="122">
        <v>2</v>
      </c>
      <c r="I406" s="123">
        <v>2058.4</v>
      </c>
      <c r="J406" s="123">
        <v>1601</v>
      </c>
      <c r="K406" s="322">
        <v>52</v>
      </c>
      <c r="L406" s="117">
        <f>'Приложение 2 КСП 2018-2019 гг'!G408</f>
        <v>1878954</v>
      </c>
      <c r="M406" s="253">
        <v>0</v>
      </c>
      <c r="N406" s="253">
        <v>0</v>
      </c>
      <c r="O406" s="253">
        <v>0</v>
      </c>
      <c r="P406" s="253">
        <f t="shared" si="89"/>
        <v>1878954</v>
      </c>
      <c r="Q406" s="253">
        <v>0</v>
      </c>
      <c r="R406" s="144">
        <v>0</v>
      </c>
      <c r="S406" s="46" t="s">
        <v>586</v>
      </c>
      <c r="T406" s="41"/>
      <c r="U406" s="42"/>
    </row>
    <row r="407" spans="1:21" ht="9" hidden="1" customHeight="1">
      <c r="A407" s="252">
        <v>49</v>
      </c>
      <c r="B407" s="118" t="s">
        <v>667</v>
      </c>
      <c r="C407" s="213" t="s">
        <v>1126</v>
      </c>
      <c r="D407" s="119" t="s">
        <v>1125</v>
      </c>
      <c r="E407" s="124" t="s">
        <v>595</v>
      </c>
      <c r="F407" s="121" t="s">
        <v>87</v>
      </c>
      <c r="G407" s="122">
        <v>5</v>
      </c>
      <c r="H407" s="122">
        <v>3</v>
      </c>
      <c r="I407" s="123">
        <v>2093.8000000000002</v>
      </c>
      <c r="J407" s="123">
        <v>1855.1</v>
      </c>
      <c r="K407" s="322">
        <v>68</v>
      </c>
      <c r="L407" s="117">
        <f>'Приложение 2 КСП 2018-2019 гг'!G409</f>
        <v>1380276</v>
      </c>
      <c r="M407" s="253">
        <v>0</v>
      </c>
      <c r="N407" s="253">
        <v>0</v>
      </c>
      <c r="O407" s="253">
        <v>0</v>
      </c>
      <c r="P407" s="253">
        <f t="shared" si="89"/>
        <v>1380276</v>
      </c>
      <c r="Q407" s="253">
        <v>0</v>
      </c>
      <c r="R407" s="144">
        <v>0</v>
      </c>
      <c r="S407" s="46" t="s">
        <v>586</v>
      </c>
      <c r="T407" s="41"/>
      <c r="U407" s="42"/>
    </row>
    <row r="408" spans="1:21" ht="9" hidden="1" customHeight="1">
      <c r="A408" s="252">
        <v>50</v>
      </c>
      <c r="B408" s="118" t="s">
        <v>668</v>
      </c>
      <c r="C408" s="213" t="s">
        <v>1126</v>
      </c>
      <c r="D408" s="119" t="s">
        <v>1125</v>
      </c>
      <c r="E408" s="124" t="s">
        <v>592</v>
      </c>
      <c r="F408" s="121" t="s">
        <v>87</v>
      </c>
      <c r="G408" s="122">
        <v>5</v>
      </c>
      <c r="H408" s="122">
        <v>3</v>
      </c>
      <c r="I408" s="123">
        <v>2802.1</v>
      </c>
      <c r="J408" s="123">
        <v>2568.1</v>
      </c>
      <c r="K408" s="322">
        <v>120</v>
      </c>
      <c r="L408" s="117">
        <f>'Приложение 2 КСП 2018-2019 гг'!G410</f>
        <v>2926770</v>
      </c>
      <c r="M408" s="253">
        <v>0</v>
      </c>
      <c r="N408" s="253">
        <v>0</v>
      </c>
      <c r="O408" s="253">
        <v>0</v>
      </c>
      <c r="P408" s="253">
        <f t="shared" si="89"/>
        <v>2926770</v>
      </c>
      <c r="Q408" s="253">
        <v>0</v>
      </c>
      <c r="R408" s="144">
        <v>0</v>
      </c>
      <c r="S408" s="46" t="s">
        <v>586</v>
      </c>
      <c r="T408" s="41"/>
      <c r="U408" s="42"/>
    </row>
    <row r="409" spans="1:21" ht="9" hidden="1" customHeight="1">
      <c r="A409" s="252">
        <v>51</v>
      </c>
      <c r="B409" s="118" t="s">
        <v>669</v>
      </c>
      <c r="C409" s="213" t="s">
        <v>1126</v>
      </c>
      <c r="D409" s="119" t="s">
        <v>1125</v>
      </c>
      <c r="E409" s="124" t="s">
        <v>591</v>
      </c>
      <c r="F409" s="121" t="s">
        <v>87</v>
      </c>
      <c r="G409" s="122">
        <v>5</v>
      </c>
      <c r="H409" s="122">
        <v>5</v>
      </c>
      <c r="I409" s="123">
        <v>4569.6000000000004</v>
      </c>
      <c r="J409" s="123">
        <v>3770.3</v>
      </c>
      <c r="K409" s="322">
        <v>149</v>
      </c>
      <c r="L409" s="117">
        <f>'Приложение 2 КСП 2018-2019 гг'!G411</f>
        <v>1420284</v>
      </c>
      <c r="M409" s="253">
        <v>0</v>
      </c>
      <c r="N409" s="253">
        <v>0</v>
      </c>
      <c r="O409" s="253">
        <v>0</v>
      </c>
      <c r="P409" s="253">
        <f t="shared" si="89"/>
        <v>1420284</v>
      </c>
      <c r="Q409" s="253">
        <v>0</v>
      </c>
      <c r="R409" s="144">
        <v>0</v>
      </c>
      <c r="S409" s="46" t="s">
        <v>586</v>
      </c>
      <c r="T409" s="41"/>
      <c r="U409" s="42"/>
    </row>
    <row r="410" spans="1:21" ht="9" hidden="1" customHeight="1">
      <c r="A410" s="252">
        <v>52</v>
      </c>
      <c r="B410" s="118" t="s">
        <v>670</v>
      </c>
      <c r="C410" s="213" t="s">
        <v>1126</v>
      </c>
      <c r="D410" s="119" t="s">
        <v>1125</v>
      </c>
      <c r="E410" s="124" t="s">
        <v>591</v>
      </c>
      <c r="F410" s="121" t="s">
        <v>87</v>
      </c>
      <c r="G410" s="122">
        <v>5</v>
      </c>
      <c r="H410" s="122">
        <v>3</v>
      </c>
      <c r="I410" s="123">
        <v>2746.3</v>
      </c>
      <c r="J410" s="123">
        <v>2512.3000000000002</v>
      </c>
      <c r="K410" s="322">
        <v>120</v>
      </c>
      <c r="L410" s="117">
        <f>'Приложение 2 КСП 2018-2019 гг'!G412</f>
        <v>3020556</v>
      </c>
      <c r="M410" s="253">
        <v>0</v>
      </c>
      <c r="N410" s="253">
        <v>0</v>
      </c>
      <c r="O410" s="253">
        <v>0</v>
      </c>
      <c r="P410" s="253">
        <f t="shared" si="89"/>
        <v>3020556</v>
      </c>
      <c r="Q410" s="253">
        <v>0</v>
      </c>
      <c r="R410" s="144">
        <v>0</v>
      </c>
      <c r="S410" s="46" t="s">
        <v>586</v>
      </c>
      <c r="T410" s="41"/>
      <c r="U410" s="42"/>
    </row>
    <row r="411" spans="1:21" ht="9" hidden="1" customHeight="1">
      <c r="A411" s="252">
        <v>53</v>
      </c>
      <c r="B411" s="118" t="s">
        <v>671</v>
      </c>
      <c r="C411" s="213" t="s">
        <v>1126</v>
      </c>
      <c r="D411" s="119" t="s">
        <v>1125</v>
      </c>
      <c r="E411" s="124" t="s">
        <v>591</v>
      </c>
      <c r="F411" s="121" t="s">
        <v>87</v>
      </c>
      <c r="G411" s="122">
        <v>5</v>
      </c>
      <c r="H411" s="122">
        <v>3</v>
      </c>
      <c r="I411" s="123">
        <v>2564.6999999999998</v>
      </c>
      <c r="J411" s="123">
        <v>2126.6</v>
      </c>
      <c r="K411" s="322">
        <v>83</v>
      </c>
      <c r="L411" s="117">
        <f>'Приложение 2 КСП 2018-2019 гг'!G413</f>
        <v>2891196</v>
      </c>
      <c r="M411" s="253">
        <v>0</v>
      </c>
      <c r="N411" s="253">
        <v>0</v>
      </c>
      <c r="O411" s="253">
        <v>0</v>
      </c>
      <c r="P411" s="253">
        <f t="shared" si="89"/>
        <v>2891196</v>
      </c>
      <c r="Q411" s="253">
        <v>0</v>
      </c>
      <c r="R411" s="144">
        <v>0</v>
      </c>
      <c r="S411" s="46" t="s">
        <v>586</v>
      </c>
      <c r="T411" s="41"/>
      <c r="U411" s="42"/>
    </row>
    <row r="412" spans="1:21" ht="9" hidden="1" customHeight="1">
      <c r="A412" s="252">
        <v>54</v>
      </c>
      <c r="B412" s="118" t="s">
        <v>672</v>
      </c>
      <c r="C412" s="213" t="s">
        <v>1126</v>
      </c>
      <c r="D412" s="119" t="s">
        <v>1125</v>
      </c>
      <c r="E412" s="124" t="s">
        <v>591</v>
      </c>
      <c r="F412" s="121" t="s">
        <v>87</v>
      </c>
      <c r="G412" s="122">
        <v>5</v>
      </c>
      <c r="H412" s="122">
        <v>3</v>
      </c>
      <c r="I412" s="123">
        <v>2723.1</v>
      </c>
      <c r="J412" s="123">
        <v>2489.1</v>
      </c>
      <c r="K412" s="322">
        <v>135</v>
      </c>
      <c r="L412" s="117">
        <f>'Приложение 2 КСП 2018-2019 гг'!G414</f>
        <v>2868558</v>
      </c>
      <c r="M412" s="253">
        <v>0</v>
      </c>
      <c r="N412" s="253">
        <v>0</v>
      </c>
      <c r="O412" s="253">
        <v>0</v>
      </c>
      <c r="P412" s="253">
        <f t="shared" si="89"/>
        <v>2868558</v>
      </c>
      <c r="Q412" s="253">
        <v>0</v>
      </c>
      <c r="R412" s="144">
        <v>0</v>
      </c>
      <c r="S412" s="46" t="s">
        <v>586</v>
      </c>
      <c r="T412" s="41"/>
      <c r="U412" s="42"/>
    </row>
    <row r="413" spans="1:21" ht="9" hidden="1" customHeight="1">
      <c r="A413" s="252">
        <v>55</v>
      </c>
      <c r="B413" s="118" t="s">
        <v>673</v>
      </c>
      <c r="C413" s="213" t="s">
        <v>1126</v>
      </c>
      <c r="D413" s="119" t="s">
        <v>1125</v>
      </c>
      <c r="E413" s="124" t="s">
        <v>595</v>
      </c>
      <c r="F413" s="121" t="s">
        <v>87</v>
      </c>
      <c r="G413" s="122">
        <v>5</v>
      </c>
      <c r="H413" s="122">
        <v>2</v>
      </c>
      <c r="I413" s="123">
        <v>1527.8</v>
      </c>
      <c r="J413" s="123">
        <v>1360.9</v>
      </c>
      <c r="K413" s="322">
        <v>73</v>
      </c>
      <c r="L413" s="117">
        <f>'Приложение 2 КСП 2018-2019 гг'!G415</f>
        <v>1862784</v>
      </c>
      <c r="M413" s="253">
        <v>0</v>
      </c>
      <c r="N413" s="253">
        <v>0</v>
      </c>
      <c r="O413" s="253">
        <v>0</v>
      </c>
      <c r="P413" s="253">
        <f t="shared" si="89"/>
        <v>1862784</v>
      </c>
      <c r="Q413" s="253">
        <v>0</v>
      </c>
      <c r="R413" s="144">
        <v>0</v>
      </c>
      <c r="S413" s="46" t="s">
        <v>586</v>
      </c>
      <c r="T413" s="41"/>
      <c r="U413" s="42"/>
    </row>
    <row r="414" spans="1:21" ht="9" hidden="1" customHeight="1">
      <c r="A414" s="252">
        <v>56</v>
      </c>
      <c r="B414" s="118" t="s">
        <v>674</v>
      </c>
      <c r="C414" s="213" t="s">
        <v>1126</v>
      </c>
      <c r="D414" s="119" t="s">
        <v>1125</v>
      </c>
      <c r="E414" s="124" t="s">
        <v>603</v>
      </c>
      <c r="F414" s="121" t="s">
        <v>87</v>
      </c>
      <c r="G414" s="122">
        <v>9</v>
      </c>
      <c r="H414" s="122">
        <v>1</v>
      </c>
      <c r="I414" s="123">
        <v>2551.5</v>
      </c>
      <c r="J414" s="123">
        <v>2273.4</v>
      </c>
      <c r="K414" s="322">
        <v>102</v>
      </c>
      <c r="L414" s="117">
        <f>'Приложение 2 КСП 2018-2019 гг'!G416</f>
        <v>1233580</v>
      </c>
      <c r="M414" s="253">
        <v>0</v>
      </c>
      <c r="N414" s="253">
        <v>0</v>
      </c>
      <c r="O414" s="253">
        <v>0</v>
      </c>
      <c r="P414" s="253">
        <f t="shared" si="89"/>
        <v>1233580</v>
      </c>
      <c r="Q414" s="253">
        <v>0</v>
      </c>
      <c r="R414" s="144">
        <v>0</v>
      </c>
      <c r="S414" s="46" t="s">
        <v>586</v>
      </c>
      <c r="T414" s="41"/>
      <c r="U414" s="42"/>
    </row>
    <row r="415" spans="1:21" ht="9" hidden="1" customHeight="1">
      <c r="A415" s="252">
        <v>57</v>
      </c>
      <c r="B415" s="118" t="s">
        <v>675</v>
      </c>
      <c r="C415" s="213" t="s">
        <v>1126</v>
      </c>
      <c r="D415" s="119" t="s">
        <v>1125</v>
      </c>
      <c r="E415" s="124" t="s">
        <v>606</v>
      </c>
      <c r="F415" s="121" t="s">
        <v>87</v>
      </c>
      <c r="G415" s="122">
        <v>5</v>
      </c>
      <c r="H415" s="122">
        <v>4</v>
      </c>
      <c r="I415" s="123">
        <v>3496.65</v>
      </c>
      <c r="J415" s="123">
        <v>3184.65</v>
      </c>
      <c r="K415" s="322">
        <v>148</v>
      </c>
      <c r="L415" s="117">
        <f>'Приложение 2 КСП 2018-2019 гг'!G417</f>
        <v>3124044</v>
      </c>
      <c r="M415" s="253">
        <v>0</v>
      </c>
      <c r="N415" s="253">
        <v>0</v>
      </c>
      <c r="O415" s="253">
        <v>0</v>
      </c>
      <c r="P415" s="253">
        <f t="shared" si="89"/>
        <v>3124044</v>
      </c>
      <c r="Q415" s="253">
        <v>0</v>
      </c>
      <c r="R415" s="144">
        <v>0</v>
      </c>
      <c r="S415" s="46" t="s">
        <v>586</v>
      </c>
      <c r="T415" s="41"/>
      <c r="U415" s="42"/>
    </row>
    <row r="416" spans="1:21" ht="9" hidden="1" customHeight="1">
      <c r="A416" s="252">
        <v>58</v>
      </c>
      <c r="B416" s="118" t="s">
        <v>676</v>
      </c>
      <c r="C416" s="213" t="s">
        <v>1126</v>
      </c>
      <c r="D416" s="119" t="s">
        <v>1125</v>
      </c>
      <c r="E416" s="124" t="s">
        <v>607</v>
      </c>
      <c r="F416" s="121" t="s">
        <v>89</v>
      </c>
      <c r="G416" s="122">
        <v>5</v>
      </c>
      <c r="H416" s="122">
        <v>4</v>
      </c>
      <c r="I416" s="123">
        <v>3898.8</v>
      </c>
      <c r="J416" s="123">
        <v>3514.8</v>
      </c>
      <c r="K416" s="322">
        <v>179</v>
      </c>
      <c r="L416" s="117">
        <f>'Приложение 2 КСП 2018-2019 гг'!G418</f>
        <v>2920584</v>
      </c>
      <c r="M416" s="253">
        <v>0</v>
      </c>
      <c r="N416" s="253">
        <v>0</v>
      </c>
      <c r="O416" s="253">
        <v>0</v>
      </c>
      <c r="P416" s="253">
        <f t="shared" si="89"/>
        <v>2920584</v>
      </c>
      <c r="Q416" s="253">
        <v>0</v>
      </c>
      <c r="R416" s="144">
        <v>0</v>
      </c>
      <c r="S416" s="46" t="s">
        <v>586</v>
      </c>
      <c r="T416" s="41"/>
      <c r="U416" s="42"/>
    </row>
    <row r="417" spans="1:21" ht="9" hidden="1" customHeight="1">
      <c r="A417" s="252">
        <v>59</v>
      </c>
      <c r="B417" s="118" t="s">
        <v>677</v>
      </c>
      <c r="C417" s="213" t="s">
        <v>1126</v>
      </c>
      <c r="D417" s="119" t="s">
        <v>1125</v>
      </c>
      <c r="E417" s="124" t="s">
        <v>609</v>
      </c>
      <c r="F417" s="121" t="s">
        <v>89</v>
      </c>
      <c r="G417" s="122">
        <v>5</v>
      </c>
      <c r="H417" s="122">
        <v>4</v>
      </c>
      <c r="I417" s="123">
        <v>3781</v>
      </c>
      <c r="J417" s="123">
        <v>3479</v>
      </c>
      <c r="K417" s="322">
        <v>153</v>
      </c>
      <c r="L417" s="117">
        <f>'Приложение 2 КСП 2018-2019 гг'!G419</f>
        <v>3614056</v>
      </c>
      <c r="M417" s="253">
        <v>0</v>
      </c>
      <c r="N417" s="253">
        <v>0</v>
      </c>
      <c r="O417" s="253">
        <v>0</v>
      </c>
      <c r="P417" s="253">
        <f t="shared" si="89"/>
        <v>3614056</v>
      </c>
      <c r="Q417" s="253">
        <v>0</v>
      </c>
      <c r="R417" s="144">
        <v>0</v>
      </c>
      <c r="S417" s="46" t="s">
        <v>586</v>
      </c>
      <c r="T417" s="41"/>
      <c r="U417" s="42"/>
    </row>
    <row r="418" spans="1:21" ht="9" hidden="1" customHeight="1">
      <c r="A418" s="252">
        <v>60</v>
      </c>
      <c r="B418" s="118" t="s">
        <v>678</v>
      </c>
      <c r="C418" s="213" t="s">
        <v>1126</v>
      </c>
      <c r="D418" s="119" t="s">
        <v>1125</v>
      </c>
      <c r="E418" s="124" t="s">
        <v>607</v>
      </c>
      <c r="F418" s="121" t="s">
        <v>89</v>
      </c>
      <c r="G418" s="122">
        <v>5</v>
      </c>
      <c r="H418" s="122">
        <v>4</v>
      </c>
      <c r="I418" s="123">
        <v>3787</v>
      </c>
      <c r="J418" s="123">
        <v>3489</v>
      </c>
      <c r="K418" s="322">
        <v>146</v>
      </c>
      <c r="L418" s="117">
        <f>'Приложение 2 КСП 2018-2019 гг'!G420</f>
        <v>3600720</v>
      </c>
      <c r="M418" s="253">
        <v>0</v>
      </c>
      <c r="N418" s="253">
        <v>0</v>
      </c>
      <c r="O418" s="253">
        <v>0</v>
      </c>
      <c r="P418" s="253">
        <f t="shared" si="89"/>
        <v>3600720</v>
      </c>
      <c r="Q418" s="253">
        <v>0</v>
      </c>
      <c r="R418" s="144">
        <v>0</v>
      </c>
      <c r="S418" s="46" t="s">
        <v>586</v>
      </c>
      <c r="T418" s="41"/>
      <c r="U418" s="42"/>
    </row>
    <row r="419" spans="1:21" ht="9" hidden="1" customHeight="1">
      <c r="A419" s="252">
        <v>61</v>
      </c>
      <c r="B419" s="118" t="s">
        <v>679</v>
      </c>
      <c r="C419" s="213" t="s">
        <v>1126</v>
      </c>
      <c r="D419" s="119" t="s">
        <v>1125</v>
      </c>
      <c r="E419" s="124" t="s">
        <v>609</v>
      </c>
      <c r="F419" s="121" t="s">
        <v>617</v>
      </c>
      <c r="G419" s="122">
        <v>5</v>
      </c>
      <c r="H419" s="122">
        <v>4</v>
      </c>
      <c r="I419" s="123">
        <v>3796.1</v>
      </c>
      <c r="J419" s="123">
        <v>3498.1</v>
      </c>
      <c r="K419" s="322">
        <v>80</v>
      </c>
      <c r="L419" s="117">
        <f>'Приложение 2 КСП 2018-2019 гг'!G421</f>
        <v>3620724</v>
      </c>
      <c r="M419" s="253">
        <v>0</v>
      </c>
      <c r="N419" s="253">
        <v>0</v>
      </c>
      <c r="O419" s="253">
        <v>0</v>
      </c>
      <c r="P419" s="253">
        <f t="shared" si="89"/>
        <v>3620724</v>
      </c>
      <c r="Q419" s="253">
        <v>0</v>
      </c>
      <c r="R419" s="144">
        <v>0</v>
      </c>
      <c r="S419" s="46" t="s">
        <v>586</v>
      </c>
      <c r="T419" s="41"/>
      <c r="U419" s="42"/>
    </row>
    <row r="420" spans="1:21" ht="9" hidden="1" customHeight="1">
      <c r="A420" s="252">
        <v>62</v>
      </c>
      <c r="B420" s="118" t="s">
        <v>680</v>
      </c>
      <c r="C420" s="213" t="s">
        <v>1126</v>
      </c>
      <c r="D420" s="119" t="s">
        <v>1125</v>
      </c>
      <c r="E420" s="124" t="s">
        <v>0</v>
      </c>
      <c r="F420" s="121" t="s">
        <v>89</v>
      </c>
      <c r="G420" s="122">
        <v>5</v>
      </c>
      <c r="H420" s="122">
        <v>4</v>
      </c>
      <c r="I420" s="123">
        <v>2682</v>
      </c>
      <c r="J420" s="123">
        <v>2384</v>
      </c>
      <c r="K420" s="322">
        <v>15</v>
      </c>
      <c r="L420" s="117">
        <f>'Приложение 2 КСП 2018-2019 гг'!G422</f>
        <v>3620724</v>
      </c>
      <c r="M420" s="253">
        <v>0</v>
      </c>
      <c r="N420" s="253">
        <v>0</v>
      </c>
      <c r="O420" s="253">
        <v>0</v>
      </c>
      <c r="P420" s="253">
        <f t="shared" si="89"/>
        <v>3620724</v>
      </c>
      <c r="Q420" s="253">
        <v>0</v>
      </c>
      <c r="R420" s="144">
        <v>0</v>
      </c>
      <c r="S420" s="46" t="s">
        <v>586</v>
      </c>
      <c r="T420" s="41"/>
      <c r="U420" s="42"/>
    </row>
    <row r="421" spans="1:21" ht="9" hidden="1" customHeight="1">
      <c r="A421" s="252">
        <v>63</v>
      </c>
      <c r="B421" s="118" t="s">
        <v>681</v>
      </c>
      <c r="C421" s="213" t="s">
        <v>1126</v>
      </c>
      <c r="D421" s="119" t="s">
        <v>1125</v>
      </c>
      <c r="E421" s="124" t="s">
        <v>612</v>
      </c>
      <c r="F421" s="121" t="s">
        <v>89</v>
      </c>
      <c r="G421" s="122">
        <v>5</v>
      </c>
      <c r="H421" s="122">
        <v>4</v>
      </c>
      <c r="I421" s="123">
        <v>3689.77</v>
      </c>
      <c r="J421" s="123">
        <v>3305.77</v>
      </c>
      <c r="K421" s="322">
        <v>20</v>
      </c>
      <c r="L421" s="117">
        <f>'Приложение 2 КСП 2018-2019 гг'!G423</f>
        <v>3607388</v>
      </c>
      <c r="M421" s="253">
        <v>0</v>
      </c>
      <c r="N421" s="253">
        <v>0</v>
      </c>
      <c r="O421" s="253">
        <v>0</v>
      </c>
      <c r="P421" s="253">
        <f t="shared" si="89"/>
        <v>3607388</v>
      </c>
      <c r="Q421" s="253">
        <v>0</v>
      </c>
      <c r="R421" s="144">
        <v>0</v>
      </c>
      <c r="S421" s="46" t="s">
        <v>586</v>
      </c>
      <c r="T421" s="41"/>
      <c r="U421" s="42"/>
    </row>
    <row r="422" spans="1:21" ht="9" hidden="1" customHeight="1">
      <c r="A422" s="252">
        <v>64</v>
      </c>
      <c r="B422" s="118" t="s">
        <v>682</v>
      </c>
      <c r="C422" s="213" t="s">
        <v>1126</v>
      </c>
      <c r="D422" s="119" t="s">
        <v>1125</v>
      </c>
      <c r="E422" s="124" t="s">
        <v>741</v>
      </c>
      <c r="F422" s="121" t="s">
        <v>617</v>
      </c>
      <c r="G422" s="122">
        <v>5</v>
      </c>
      <c r="H422" s="122">
        <v>4</v>
      </c>
      <c r="I422" s="123">
        <v>3878.9</v>
      </c>
      <c r="J422" s="123">
        <v>3494.9</v>
      </c>
      <c r="K422" s="322">
        <v>23</v>
      </c>
      <c r="L422" s="117">
        <f>'Приложение 2 КСП 2018-2019 гг'!G424</f>
        <v>3927452</v>
      </c>
      <c r="M422" s="253">
        <v>0</v>
      </c>
      <c r="N422" s="253">
        <v>0</v>
      </c>
      <c r="O422" s="253">
        <v>0</v>
      </c>
      <c r="P422" s="253">
        <f t="shared" si="89"/>
        <v>3927452</v>
      </c>
      <c r="Q422" s="253">
        <v>0</v>
      </c>
      <c r="R422" s="144">
        <v>0</v>
      </c>
      <c r="S422" s="46" t="s">
        <v>586</v>
      </c>
      <c r="T422" s="41"/>
      <c r="U422" s="42"/>
    </row>
    <row r="423" spans="1:21" ht="9" hidden="1" customHeight="1">
      <c r="A423" s="252">
        <v>65</v>
      </c>
      <c r="B423" s="118" t="s">
        <v>683</v>
      </c>
      <c r="C423" s="213" t="s">
        <v>1126</v>
      </c>
      <c r="D423" s="119" t="s">
        <v>1125</v>
      </c>
      <c r="E423" s="124" t="s">
        <v>597</v>
      </c>
      <c r="F423" s="121" t="s">
        <v>89</v>
      </c>
      <c r="G423" s="122">
        <v>5</v>
      </c>
      <c r="H423" s="122">
        <v>4</v>
      </c>
      <c r="I423" s="123">
        <v>4180.3999999999996</v>
      </c>
      <c r="J423" s="123">
        <v>3197.9</v>
      </c>
      <c r="K423" s="322">
        <v>16</v>
      </c>
      <c r="L423" s="117">
        <f>'Приложение 2 КСП 2018-2019 гг'!G425</f>
        <v>3083950</v>
      </c>
      <c r="M423" s="253">
        <v>0</v>
      </c>
      <c r="N423" s="253">
        <v>0</v>
      </c>
      <c r="O423" s="253">
        <v>0</v>
      </c>
      <c r="P423" s="253">
        <f t="shared" si="89"/>
        <v>3083950</v>
      </c>
      <c r="Q423" s="253">
        <v>0</v>
      </c>
      <c r="R423" s="144">
        <v>0</v>
      </c>
      <c r="S423" s="46" t="s">
        <v>586</v>
      </c>
      <c r="T423" s="41"/>
      <c r="U423" s="42"/>
    </row>
    <row r="424" spans="1:21" ht="9" hidden="1" customHeight="1">
      <c r="A424" s="252">
        <v>66</v>
      </c>
      <c r="B424" s="118" t="s">
        <v>684</v>
      </c>
      <c r="C424" s="213" t="s">
        <v>1126</v>
      </c>
      <c r="D424" s="119" t="s">
        <v>1125</v>
      </c>
      <c r="E424" s="124" t="s">
        <v>597</v>
      </c>
      <c r="F424" s="121" t="s">
        <v>89</v>
      </c>
      <c r="G424" s="122">
        <v>5</v>
      </c>
      <c r="H424" s="122">
        <v>8</v>
      </c>
      <c r="I424" s="123">
        <v>4728.7</v>
      </c>
      <c r="J424" s="123">
        <v>4490</v>
      </c>
      <c r="K424" s="322">
        <v>321</v>
      </c>
      <c r="L424" s="117">
        <f>'Приложение 2 КСП 2018-2019 гг'!G426</f>
        <v>6117890</v>
      </c>
      <c r="M424" s="253">
        <v>0</v>
      </c>
      <c r="N424" s="253">
        <v>0</v>
      </c>
      <c r="O424" s="253">
        <v>0</v>
      </c>
      <c r="P424" s="253">
        <f t="shared" ref="P424:P487" si="90">L424</f>
        <v>6117890</v>
      </c>
      <c r="Q424" s="253">
        <v>0</v>
      </c>
      <c r="R424" s="144">
        <v>0</v>
      </c>
      <c r="S424" s="46" t="s">
        <v>586</v>
      </c>
      <c r="T424" s="41"/>
      <c r="U424" s="42"/>
    </row>
    <row r="425" spans="1:21" ht="9" hidden="1" customHeight="1">
      <c r="A425" s="252">
        <v>67</v>
      </c>
      <c r="B425" s="118" t="s">
        <v>685</v>
      </c>
      <c r="C425" s="213" t="s">
        <v>1126</v>
      </c>
      <c r="D425" s="119" t="s">
        <v>1125</v>
      </c>
      <c r="E425" s="124" t="s">
        <v>597</v>
      </c>
      <c r="F425" s="121" t="s">
        <v>89</v>
      </c>
      <c r="G425" s="122">
        <v>5</v>
      </c>
      <c r="H425" s="122">
        <v>15</v>
      </c>
      <c r="I425" s="123">
        <v>7267.9</v>
      </c>
      <c r="J425" s="123">
        <v>7044</v>
      </c>
      <c r="K425" s="322">
        <v>547</v>
      </c>
      <c r="L425" s="117">
        <f>'Приложение 2 КСП 2018-2019 гг'!G427</f>
        <v>10608788</v>
      </c>
      <c r="M425" s="253">
        <v>0</v>
      </c>
      <c r="N425" s="253">
        <v>0</v>
      </c>
      <c r="O425" s="253">
        <v>0</v>
      </c>
      <c r="P425" s="253">
        <f t="shared" si="90"/>
        <v>10608788</v>
      </c>
      <c r="Q425" s="253">
        <v>0</v>
      </c>
      <c r="R425" s="144">
        <v>0</v>
      </c>
      <c r="S425" s="46" t="s">
        <v>586</v>
      </c>
      <c r="T425" s="41"/>
      <c r="U425" s="42"/>
    </row>
    <row r="426" spans="1:21" ht="9" hidden="1" customHeight="1">
      <c r="A426" s="252">
        <v>68</v>
      </c>
      <c r="B426" s="118" t="s">
        <v>686</v>
      </c>
      <c r="C426" s="213" t="s">
        <v>1126</v>
      </c>
      <c r="D426" s="119" t="s">
        <v>1125</v>
      </c>
      <c r="E426" s="124" t="s">
        <v>604</v>
      </c>
      <c r="F426" s="121" t="s">
        <v>89</v>
      </c>
      <c r="G426" s="122">
        <v>5</v>
      </c>
      <c r="H426" s="122">
        <v>6</v>
      </c>
      <c r="I426" s="123">
        <v>6473.5</v>
      </c>
      <c r="J426" s="123">
        <v>4642.5</v>
      </c>
      <c r="K426" s="322">
        <v>225</v>
      </c>
      <c r="L426" s="117">
        <f>'Приложение 2 КСП 2018-2019 гг'!G428</f>
        <v>4347536</v>
      </c>
      <c r="M426" s="253">
        <v>0</v>
      </c>
      <c r="N426" s="253">
        <v>0</v>
      </c>
      <c r="O426" s="253">
        <v>0</v>
      </c>
      <c r="P426" s="253">
        <f t="shared" si="90"/>
        <v>4347536</v>
      </c>
      <c r="Q426" s="253">
        <v>0</v>
      </c>
      <c r="R426" s="144">
        <v>0</v>
      </c>
      <c r="S426" s="46" t="s">
        <v>586</v>
      </c>
      <c r="T426" s="41"/>
      <c r="U426" s="42"/>
    </row>
    <row r="427" spans="1:21" ht="9" hidden="1" customHeight="1">
      <c r="A427" s="252">
        <v>69</v>
      </c>
      <c r="B427" s="118" t="s">
        <v>687</v>
      </c>
      <c r="C427" s="213" t="s">
        <v>1126</v>
      </c>
      <c r="D427" s="119" t="s">
        <v>1125</v>
      </c>
      <c r="E427" s="124" t="s">
        <v>604</v>
      </c>
      <c r="F427" s="121" t="s">
        <v>87</v>
      </c>
      <c r="G427" s="122">
        <v>5</v>
      </c>
      <c r="H427" s="122">
        <v>6</v>
      </c>
      <c r="I427" s="123">
        <v>6501.1</v>
      </c>
      <c r="J427" s="123">
        <v>4599.1000000000004</v>
      </c>
      <c r="K427" s="322">
        <v>223</v>
      </c>
      <c r="L427" s="117">
        <f>'Приложение 2 КСП 2018-2019 гг'!G429</f>
        <v>3980796</v>
      </c>
      <c r="M427" s="253">
        <v>0</v>
      </c>
      <c r="N427" s="253">
        <v>0</v>
      </c>
      <c r="O427" s="253">
        <v>0</v>
      </c>
      <c r="P427" s="253">
        <f t="shared" si="90"/>
        <v>3980796</v>
      </c>
      <c r="Q427" s="253">
        <v>0</v>
      </c>
      <c r="R427" s="144">
        <v>0</v>
      </c>
      <c r="S427" s="46" t="s">
        <v>586</v>
      </c>
      <c r="T427" s="41"/>
      <c r="U427" s="42"/>
    </row>
    <row r="428" spans="1:21" ht="9" hidden="1" customHeight="1">
      <c r="A428" s="252">
        <v>70</v>
      </c>
      <c r="B428" s="118" t="s">
        <v>688</v>
      </c>
      <c r="C428" s="213" t="s">
        <v>1126</v>
      </c>
      <c r="D428" s="119" t="s">
        <v>1125</v>
      </c>
      <c r="E428" s="124" t="s">
        <v>614</v>
      </c>
      <c r="F428" s="121" t="s">
        <v>87</v>
      </c>
      <c r="G428" s="122">
        <v>5</v>
      </c>
      <c r="H428" s="122">
        <v>2</v>
      </c>
      <c r="I428" s="123">
        <v>2147.6999999999998</v>
      </c>
      <c r="J428" s="123">
        <v>1900.6</v>
      </c>
      <c r="K428" s="322">
        <v>179</v>
      </c>
      <c r="L428" s="117">
        <f>'Приложение 2 КСП 2018-2019 гг'!G430</f>
        <v>2353804</v>
      </c>
      <c r="M428" s="253">
        <v>0</v>
      </c>
      <c r="N428" s="253">
        <v>0</v>
      </c>
      <c r="O428" s="253">
        <v>0</v>
      </c>
      <c r="P428" s="253">
        <f t="shared" si="90"/>
        <v>2353804</v>
      </c>
      <c r="Q428" s="253">
        <v>0</v>
      </c>
      <c r="R428" s="144">
        <v>0</v>
      </c>
      <c r="S428" s="46" t="s">
        <v>586</v>
      </c>
      <c r="T428" s="41"/>
      <c r="U428" s="42"/>
    </row>
    <row r="429" spans="1:21" ht="9" hidden="1" customHeight="1">
      <c r="A429" s="252">
        <v>71</v>
      </c>
      <c r="B429" s="118" t="s">
        <v>689</v>
      </c>
      <c r="C429" s="213" t="s">
        <v>1126</v>
      </c>
      <c r="D429" s="119" t="s">
        <v>1125</v>
      </c>
      <c r="E429" s="124" t="s">
        <v>608</v>
      </c>
      <c r="F429" s="121" t="s">
        <v>87</v>
      </c>
      <c r="G429" s="122">
        <v>5</v>
      </c>
      <c r="H429" s="122">
        <v>8</v>
      </c>
      <c r="I429" s="123">
        <v>6665.6</v>
      </c>
      <c r="J429" s="123">
        <v>6141.9</v>
      </c>
      <c r="K429" s="322">
        <v>326</v>
      </c>
      <c r="L429" s="117">
        <f>'Приложение 2 КСП 2018-2019 гг'!G431</f>
        <v>6127892</v>
      </c>
      <c r="M429" s="253">
        <v>0</v>
      </c>
      <c r="N429" s="253">
        <v>0</v>
      </c>
      <c r="O429" s="253">
        <v>0</v>
      </c>
      <c r="P429" s="253">
        <f t="shared" si="90"/>
        <v>6127892</v>
      </c>
      <c r="Q429" s="253">
        <v>0</v>
      </c>
      <c r="R429" s="144">
        <v>0</v>
      </c>
      <c r="S429" s="46" t="s">
        <v>586</v>
      </c>
      <c r="T429" s="41"/>
      <c r="U429" s="42"/>
    </row>
    <row r="430" spans="1:21" ht="9" hidden="1" customHeight="1">
      <c r="A430" s="252">
        <v>72</v>
      </c>
      <c r="B430" s="118" t="s">
        <v>690</v>
      </c>
      <c r="C430" s="213" t="s">
        <v>1126</v>
      </c>
      <c r="D430" s="119" t="s">
        <v>1125</v>
      </c>
      <c r="E430" s="124" t="s">
        <v>612</v>
      </c>
      <c r="F430" s="121" t="s">
        <v>89</v>
      </c>
      <c r="G430" s="122">
        <v>5</v>
      </c>
      <c r="H430" s="122">
        <v>3</v>
      </c>
      <c r="I430" s="123">
        <v>2315</v>
      </c>
      <c r="J430" s="123">
        <v>2019</v>
      </c>
      <c r="K430" s="322">
        <v>110</v>
      </c>
      <c r="L430" s="117">
        <f>'Приложение 2 КСП 2018-2019 гг'!G432</f>
        <v>2240448</v>
      </c>
      <c r="M430" s="253">
        <v>0</v>
      </c>
      <c r="N430" s="253">
        <v>0</v>
      </c>
      <c r="O430" s="253">
        <v>0</v>
      </c>
      <c r="P430" s="253">
        <f t="shared" si="90"/>
        <v>2240448</v>
      </c>
      <c r="Q430" s="253">
        <v>0</v>
      </c>
      <c r="R430" s="144">
        <v>0</v>
      </c>
      <c r="S430" s="46" t="s">
        <v>586</v>
      </c>
      <c r="T430" s="41"/>
      <c r="U430" s="42"/>
    </row>
    <row r="431" spans="1:21" ht="9" hidden="1" customHeight="1">
      <c r="A431" s="252">
        <v>73</v>
      </c>
      <c r="B431" s="118" t="s">
        <v>691</v>
      </c>
      <c r="C431" s="213" t="s">
        <v>1126</v>
      </c>
      <c r="D431" s="119" t="s">
        <v>1125</v>
      </c>
      <c r="E431" s="124" t="s">
        <v>594</v>
      </c>
      <c r="F431" s="121" t="s">
        <v>87</v>
      </c>
      <c r="G431" s="122">
        <v>5</v>
      </c>
      <c r="H431" s="122">
        <v>4</v>
      </c>
      <c r="I431" s="123">
        <v>3462.3</v>
      </c>
      <c r="J431" s="123">
        <v>3119.8</v>
      </c>
      <c r="K431" s="322">
        <v>153</v>
      </c>
      <c r="L431" s="117">
        <f>'Приложение 2 КСП 2018-2019 гг'!G433</f>
        <v>3580038</v>
      </c>
      <c r="M431" s="253">
        <v>0</v>
      </c>
      <c r="N431" s="253">
        <v>0</v>
      </c>
      <c r="O431" s="253">
        <v>0</v>
      </c>
      <c r="P431" s="253">
        <f t="shared" si="90"/>
        <v>3580038</v>
      </c>
      <c r="Q431" s="253">
        <v>0</v>
      </c>
      <c r="R431" s="144">
        <v>0</v>
      </c>
      <c r="S431" s="46" t="s">
        <v>586</v>
      </c>
      <c r="T431" s="41"/>
      <c r="U431" s="42"/>
    </row>
    <row r="432" spans="1:21" ht="9" hidden="1" customHeight="1">
      <c r="A432" s="252">
        <v>74</v>
      </c>
      <c r="B432" s="118" t="s">
        <v>692</v>
      </c>
      <c r="C432" s="213" t="s">
        <v>1126</v>
      </c>
      <c r="D432" s="119" t="s">
        <v>1125</v>
      </c>
      <c r="E432" s="124" t="s">
        <v>608</v>
      </c>
      <c r="F432" s="121" t="s">
        <v>89</v>
      </c>
      <c r="G432" s="122">
        <v>5</v>
      </c>
      <c r="H432" s="122">
        <v>4</v>
      </c>
      <c r="I432" s="123">
        <v>3775</v>
      </c>
      <c r="J432" s="123">
        <v>3322.6</v>
      </c>
      <c r="K432" s="322">
        <v>156</v>
      </c>
      <c r="L432" s="117">
        <f>'Приложение 2 КСП 2018-2019 гг'!G434</f>
        <v>3197306</v>
      </c>
      <c r="M432" s="253">
        <v>0</v>
      </c>
      <c r="N432" s="253">
        <v>0</v>
      </c>
      <c r="O432" s="253">
        <v>0</v>
      </c>
      <c r="P432" s="253">
        <f t="shared" si="90"/>
        <v>3197306</v>
      </c>
      <c r="Q432" s="253">
        <v>0</v>
      </c>
      <c r="R432" s="144">
        <v>0</v>
      </c>
      <c r="S432" s="46" t="s">
        <v>586</v>
      </c>
      <c r="T432" s="41"/>
      <c r="U432" s="42"/>
    </row>
    <row r="433" spans="1:21" ht="9" hidden="1" customHeight="1">
      <c r="A433" s="252">
        <v>75</v>
      </c>
      <c r="B433" s="118" t="s">
        <v>693</v>
      </c>
      <c r="C433" s="213" t="s">
        <v>1126</v>
      </c>
      <c r="D433" s="119" t="s">
        <v>1125</v>
      </c>
      <c r="E433" s="124" t="s">
        <v>593</v>
      </c>
      <c r="F433" s="121" t="s">
        <v>89</v>
      </c>
      <c r="G433" s="122">
        <v>5</v>
      </c>
      <c r="H433" s="122">
        <v>4</v>
      </c>
      <c r="I433" s="123">
        <v>3634.7</v>
      </c>
      <c r="J433" s="123">
        <v>3366.3</v>
      </c>
      <c r="K433" s="322">
        <v>149</v>
      </c>
      <c r="L433" s="117">
        <f>'Приложение 2 КСП 2018-2019 гг'!G435</f>
        <v>3187304</v>
      </c>
      <c r="M433" s="253">
        <v>0</v>
      </c>
      <c r="N433" s="253">
        <v>0</v>
      </c>
      <c r="O433" s="253">
        <v>0</v>
      </c>
      <c r="P433" s="253">
        <f t="shared" si="90"/>
        <v>3187304</v>
      </c>
      <c r="Q433" s="253">
        <v>0</v>
      </c>
      <c r="R433" s="144">
        <v>0</v>
      </c>
      <c r="S433" s="46" t="s">
        <v>586</v>
      </c>
      <c r="T433" s="41"/>
      <c r="U433" s="42"/>
    </row>
    <row r="434" spans="1:21" ht="9" hidden="1" customHeight="1">
      <c r="A434" s="252">
        <v>76</v>
      </c>
      <c r="B434" s="118" t="s">
        <v>694</v>
      </c>
      <c r="C434" s="213" t="s">
        <v>1126</v>
      </c>
      <c r="D434" s="119" t="s">
        <v>1125</v>
      </c>
      <c r="E434" s="124" t="s">
        <v>593</v>
      </c>
      <c r="F434" s="121" t="s">
        <v>89</v>
      </c>
      <c r="G434" s="122">
        <v>5</v>
      </c>
      <c r="H434" s="122">
        <v>8</v>
      </c>
      <c r="I434" s="123">
        <v>6118.8</v>
      </c>
      <c r="J434" s="123">
        <v>5621.6</v>
      </c>
      <c r="K434" s="322">
        <v>244</v>
      </c>
      <c r="L434" s="117">
        <f>'Приложение 2 КСП 2018-2019 гг'!G436</f>
        <v>5317730</v>
      </c>
      <c r="M434" s="253">
        <v>0</v>
      </c>
      <c r="N434" s="253">
        <v>0</v>
      </c>
      <c r="O434" s="253">
        <v>0</v>
      </c>
      <c r="P434" s="253">
        <f t="shared" si="90"/>
        <v>5317730</v>
      </c>
      <c r="Q434" s="253">
        <v>0</v>
      </c>
      <c r="R434" s="144">
        <v>0</v>
      </c>
      <c r="S434" s="46" t="s">
        <v>586</v>
      </c>
      <c r="T434" s="41"/>
      <c r="U434" s="42"/>
    </row>
    <row r="435" spans="1:21" ht="9" hidden="1" customHeight="1">
      <c r="A435" s="252">
        <v>77</v>
      </c>
      <c r="B435" s="118" t="s">
        <v>695</v>
      </c>
      <c r="C435" s="213" t="s">
        <v>1126</v>
      </c>
      <c r="D435" s="119" t="s">
        <v>1125</v>
      </c>
      <c r="E435" s="124" t="s">
        <v>608</v>
      </c>
      <c r="F435" s="121" t="s">
        <v>89</v>
      </c>
      <c r="G435" s="122">
        <v>5</v>
      </c>
      <c r="H435" s="122">
        <v>8</v>
      </c>
      <c r="I435" s="123">
        <v>5989.4</v>
      </c>
      <c r="J435" s="123">
        <v>5548.2</v>
      </c>
      <c r="K435" s="322">
        <v>270</v>
      </c>
      <c r="L435" s="117">
        <f>'Приложение 2 КСП 2018-2019 гг'!G437</f>
        <v>5951190</v>
      </c>
      <c r="M435" s="253">
        <v>0</v>
      </c>
      <c r="N435" s="253">
        <v>0</v>
      </c>
      <c r="O435" s="253">
        <v>0</v>
      </c>
      <c r="P435" s="253">
        <f t="shared" si="90"/>
        <v>5951190</v>
      </c>
      <c r="Q435" s="253">
        <v>0</v>
      </c>
      <c r="R435" s="144">
        <v>0</v>
      </c>
      <c r="S435" s="46" t="s">
        <v>586</v>
      </c>
      <c r="T435" s="41"/>
      <c r="U435" s="42"/>
    </row>
    <row r="436" spans="1:21" ht="9" hidden="1" customHeight="1">
      <c r="A436" s="252">
        <v>78</v>
      </c>
      <c r="B436" s="118" t="s">
        <v>696</v>
      </c>
      <c r="C436" s="213" t="s">
        <v>1126</v>
      </c>
      <c r="D436" s="119" t="s">
        <v>1125</v>
      </c>
      <c r="E436" s="124" t="s">
        <v>608</v>
      </c>
      <c r="F436" s="121" t="s">
        <v>89</v>
      </c>
      <c r="G436" s="122">
        <v>5</v>
      </c>
      <c r="H436" s="122">
        <v>4</v>
      </c>
      <c r="I436" s="123">
        <v>3598.6</v>
      </c>
      <c r="J436" s="123">
        <v>3322.6</v>
      </c>
      <c r="K436" s="322">
        <v>126</v>
      </c>
      <c r="L436" s="117">
        <f>'Приложение 2 КСП 2018-2019 гг'!G438</f>
        <v>3123958</v>
      </c>
      <c r="M436" s="253">
        <v>0</v>
      </c>
      <c r="N436" s="253">
        <v>0</v>
      </c>
      <c r="O436" s="253">
        <v>0</v>
      </c>
      <c r="P436" s="253">
        <f t="shared" si="90"/>
        <v>3123958</v>
      </c>
      <c r="Q436" s="253">
        <v>0</v>
      </c>
      <c r="R436" s="144">
        <v>0</v>
      </c>
      <c r="S436" s="46" t="s">
        <v>586</v>
      </c>
      <c r="T436" s="41"/>
      <c r="U436" s="42"/>
    </row>
    <row r="437" spans="1:21" ht="9" hidden="1" customHeight="1">
      <c r="A437" s="252">
        <v>79</v>
      </c>
      <c r="B437" s="118" t="s">
        <v>697</v>
      </c>
      <c r="C437" s="213" t="s">
        <v>1126</v>
      </c>
      <c r="D437" s="119" t="s">
        <v>1125</v>
      </c>
      <c r="E437" s="124" t="s">
        <v>604</v>
      </c>
      <c r="F437" s="121" t="s">
        <v>89</v>
      </c>
      <c r="G437" s="122">
        <v>5</v>
      </c>
      <c r="H437" s="122">
        <v>4</v>
      </c>
      <c r="I437" s="123">
        <v>3925.7</v>
      </c>
      <c r="J437" s="123">
        <v>3259.1</v>
      </c>
      <c r="K437" s="322">
        <v>127</v>
      </c>
      <c r="L437" s="117">
        <f>'Приложение 2 КСП 2018-2019 гг'!G439</f>
        <v>3042608.4</v>
      </c>
      <c r="M437" s="253">
        <v>0</v>
      </c>
      <c r="N437" s="253">
        <v>0</v>
      </c>
      <c r="O437" s="253">
        <v>0</v>
      </c>
      <c r="P437" s="253">
        <f t="shared" si="90"/>
        <v>3042608.4</v>
      </c>
      <c r="Q437" s="253">
        <v>0</v>
      </c>
      <c r="R437" s="144">
        <v>0</v>
      </c>
      <c r="S437" s="46" t="s">
        <v>586</v>
      </c>
      <c r="T437" s="41"/>
      <c r="U437" s="42"/>
    </row>
    <row r="438" spans="1:21" ht="9" hidden="1" customHeight="1">
      <c r="A438" s="252">
        <v>80</v>
      </c>
      <c r="B438" s="118" t="s">
        <v>698</v>
      </c>
      <c r="C438" s="213" t="s">
        <v>1126</v>
      </c>
      <c r="D438" s="119" t="s">
        <v>1125</v>
      </c>
      <c r="E438" s="124" t="s">
        <v>604</v>
      </c>
      <c r="F438" s="121" t="s">
        <v>89</v>
      </c>
      <c r="G438" s="122">
        <v>5</v>
      </c>
      <c r="H438" s="122">
        <v>5</v>
      </c>
      <c r="I438" s="123">
        <v>4429.5</v>
      </c>
      <c r="J438" s="123">
        <v>3941.5</v>
      </c>
      <c r="K438" s="322">
        <v>216</v>
      </c>
      <c r="L438" s="117">
        <f>'Приложение 2 КСП 2018-2019 гг'!G440</f>
        <v>3640728</v>
      </c>
      <c r="M438" s="253">
        <v>0</v>
      </c>
      <c r="N438" s="253">
        <v>0</v>
      </c>
      <c r="O438" s="253">
        <v>0</v>
      </c>
      <c r="P438" s="253">
        <f t="shared" si="90"/>
        <v>3640728</v>
      </c>
      <c r="Q438" s="253">
        <v>0</v>
      </c>
      <c r="R438" s="144">
        <v>0</v>
      </c>
      <c r="S438" s="46" t="s">
        <v>586</v>
      </c>
      <c r="T438" s="41"/>
      <c r="U438" s="42"/>
    </row>
    <row r="439" spans="1:21" ht="9" hidden="1" customHeight="1">
      <c r="A439" s="252">
        <v>81</v>
      </c>
      <c r="B439" s="118" t="s">
        <v>699</v>
      </c>
      <c r="C439" s="213" t="s">
        <v>1126</v>
      </c>
      <c r="D439" s="119" t="s">
        <v>1125</v>
      </c>
      <c r="E439" s="124" t="s">
        <v>604</v>
      </c>
      <c r="F439" s="121" t="s">
        <v>89</v>
      </c>
      <c r="G439" s="122">
        <v>5</v>
      </c>
      <c r="H439" s="122">
        <v>6</v>
      </c>
      <c r="I439" s="123">
        <v>5072.6000000000004</v>
      </c>
      <c r="J439" s="123">
        <v>4568.8999999999996</v>
      </c>
      <c r="K439" s="322">
        <v>211</v>
      </c>
      <c r="L439" s="117">
        <f>'Приложение 2 КСП 2018-2019 гг'!G441</f>
        <v>4209175</v>
      </c>
      <c r="M439" s="253">
        <v>0</v>
      </c>
      <c r="N439" s="253">
        <v>0</v>
      </c>
      <c r="O439" s="253">
        <v>0</v>
      </c>
      <c r="P439" s="253">
        <f t="shared" si="90"/>
        <v>4209175</v>
      </c>
      <c r="Q439" s="253">
        <v>0</v>
      </c>
      <c r="R439" s="144">
        <v>0</v>
      </c>
      <c r="S439" s="46" t="s">
        <v>586</v>
      </c>
      <c r="T439" s="41"/>
      <c r="U439" s="42"/>
    </row>
    <row r="440" spans="1:21" ht="9" hidden="1" customHeight="1">
      <c r="A440" s="252">
        <v>82</v>
      </c>
      <c r="B440" s="118" t="s">
        <v>700</v>
      </c>
      <c r="C440" s="213" t="s">
        <v>1126</v>
      </c>
      <c r="D440" s="119" t="s">
        <v>1125</v>
      </c>
      <c r="E440" s="124" t="s">
        <v>296</v>
      </c>
      <c r="F440" s="121" t="s">
        <v>89</v>
      </c>
      <c r="G440" s="122">
        <v>9</v>
      </c>
      <c r="H440" s="122">
        <v>4</v>
      </c>
      <c r="I440" s="123">
        <v>8668.2000000000007</v>
      </c>
      <c r="J440" s="123">
        <v>7601.2</v>
      </c>
      <c r="K440" s="322">
        <v>332</v>
      </c>
      <c r="L440" s="117">
        <f>'Приложение 2 КСП 2018-2019 гг'!G442</f>
        <v>3970794</v>
      </c>
      <c r="M440" s="253">
        <v>0</v>
      </c>
      <c r="N440" s="253">
        <v>0</v>
      </c>
      <c r="O440" s="253">
        <v>0</v>
      </c>
      <c r="P440" s="253">
        <f t="shared" si="90"/>
        <v>3970794</v>
      </c>
      <c r="Q440" s="253">
        <v>0</v>
      </c>
      <c r="R440" s="144">
        <v>0</v>
      </c>
      <c r="S440" s="46" t="s">
        <v>586</v>
      </c>
      <c r="T440" s="41"/>
      <c r="U440" s="42"/>
    </row>
    <row r="441" spans="1:21" ht="9" hidden="1" customHeight="1">
      <c r="A441" s="252">
        <v>83</v>
      </c>
      <c r="B441" s="118" t="s">
        <v>701</v>
      </c>
      <c r="C441" s="213" t="s">
        <v>1126</v>
      </c>
      <c r="D441" s="119" t="s">
        <v>1125</v>
      </c>
      <c r="E441" s="124" t="s">
        <v>296</v>
      </c>
      <c r="F441" s="121" t="s">
        <v>89</v>
      </c>
      <c r="G441" s="122">
        <v>9</v>
      </c>
      <c r="H441" s="122">
        <v>5</v>
      </c>
      <c r="I441" s="123">
        <v>10728.8</v>
      </c>
      <c r="J441" s="123">
        <v>9599</v>
      </c>
      <c r="K441" s="322">
        <v>435</v>
      </c>
      <c r="L441" s="117">
        <f>'Приложение 2 КСП 2018-2019 гг'!G443</f>
        <v>5384410</v>
      </c>
      <c r="M441" s="253">
        <v>0</v>
      </c>
      <c r="N441" s="253">
        <v>0</v>
      </c>
      <c r="O441" s="253">
        <v>0</v>
      </c>
      <c r="P441" s="253">
        <f t="shared" si="90"/>
        <v>5384410</v>
      </c>
      <c r="Q441" s="253">
        <v>0</v>
      </c>
      <c r="R441" s="144">
        <v>0</v>
      </c>
      <c r="S441" s="46" t="s">
        <v>586</v>
      </c>
      <c r="T441" s="41"/>
      <c r="U441" s="42"/>
    </row>
    <row r="442" spans="1:21" ht="9" hidden="1" customHeight="1">
      <c r="A442" s="252">
        <v>84</v>
      </c>
      <c r="B442" s="118" t="s">
        <v>702</v>
      </c>
      <c r="C442" s="213" t="s">
        <v>1126</v>
      </c>
      <c r="D442" s="119" t="s">
        <v>1125</v>
      </c>
      <c r="E442" s="124" t="s">
        <v>614</v>
      </c>
      <c r="F442" s="121" t="s">
        <v>87</v>
      </c>
      <c r="G442" s="122">
        <v>9</v>
      </c>
      <c r="H442" s="122">
        <v>1</v>
      </c>
      <c r="I442" s="123">
        <v>4294.1000000000004</v>
      </c>
      <c r="J442" s="123">
        <v>3316.2</v>
      </c>
      <c r="K442" s="322">
        <v>151</v>
      </c>
      <c r="L442" s="117">
        <f>'Приложение 2 КСП 2018-2019 гг'!G444</f>
        <v>2137094</v>
      </c>
      <c r="M442" s="253">
        <v>0</v>
      </c>
      <c r="N442" s="253">
        <v>0</v>
      </c>
      <c r="O442" s="253">
        <v>0</v>
      </c>
      <c r="P442" s="253">
        <f t="shared" si="90"/>
        <v>2137094</v>
      </c>
      <c r="Q442" s="253">
        <v>0</v>
      </c>
      <c r="R442" s="144">
        <v>0</v>
      </c>
      <c r="S442" s="46" t="s">
        <v>586</v>
      </c>
      <c r="T442" s="41"/>
      <c r="U442" s="42"/>
    </row>
    <row r="443" spans="1:21" ht="9" hidden="1" customHeight="1">
      <c r="A443" s="252">
        <v>85</v>
      </c>
      <c r="B443" s="118" t="s">
        <v>703</v>
      </c>
      <c r="C443" s="213" t="s">
        <v>1126</v>
      </c>
      <c r="D443" s="119" t="s">
        <v>1125</v>
      </c>
      <c r="E443" s="124" t="s">
        <v>603</v>
      </c>
      <c r="F443" s="121" t="s">
        <v>87</v>
      </c>
      <c r="G443" s="122">
        <v>9</v>
      </c>
      <c r="H443" s="122">
        <v>8</v>
      </c>
      <c r="I443" s="123">
        <v>18543.7</v>
      </c>
      <c r="J443" s="123">
        <v>15749.4</v>
      </c>
      <c r="K443" s="322">
        <v>600</v>
      </c>
      <c r="L443" s="117">
        <f>'Приложение 2 КСП 2018-2019 гг'!G445</f>
        <v>9250183</v>
      </c>
      <c r="M443" s="253">
        <v>0</v>
      </c>
      <c r="N443" s="253">
        <v>0</v>
      </c>
      <c r="O443" s="253">
        <v>0</v>
      </c>
      <c r="P443" s="253">
        <f t="shared" si="90"/>
        <v>9250183</v>
      </c>
      <c r="Q443" s="253">
        <v>0</v>
      </c>
      <c r="R443" s="144">
        <v>0</v>
      </c>
      <c r="S443" s="46" t="s">
        <v>586</v>
      </c>
      <c r="T443" s="41"/>
      <c r="U443" s="42"/>
    </row>
    <row r="444" spans="1:21" ht="9" hidden="1" customHeight="1">
      <c r="A444" s="252">
        <v>86</v>
      </c>
      <c r="B444" s="118" t="s">
        <v>704</v>
      </c>
      <c r="C444" s="213" t="s">
        <v>1126</v>
      </c>
      <c r="D444" s="119" t="s">
        <v>1125</v>
      </c>
      <c r="E444" s="124" t="s">
        <v>612</v>
      </c>
      <c r="F444" s="121" t="s">
        <v>87</v>
      </c>
      <c r="G444" s="122">
        <v>9</v>
      </c>
      <c r="H444" s="122">
        <v>6</v>
      </c>
      <c r="I444" s="123">
        <v>12098.3</v>
      </c>
      <c r="J444" s="123">
        <v>10383.700000000001</v>
      </c>
      <c r="K444" s="322">
        <v>503</v>
      </c>
      <c r="L444" s="117">
        <f>'Приложение 2 КСП 2018-2019 гг'!G446</f>
        <v>6577982</v>
      </c>
      <c r="M444" s="253">
        <v>0</v>
      </c>
      <c r="N444" s="253">
        <v>0</v>
      </c>
      <c r="O444" s="253">
        <v>0</v>
      </c>
      <c r="P444" s="253">
        <f t="shared" si="90"/>
        <v>6577982</v>
      </c>
      <c r="Q444" s="253">
        <v>0</v>
      </c>
      <c r="R444" s="144">
        <v>0</v>
      </c>
      <c r="S444" s="46" t="s">
        <v>586</v>
      </c>
      <c r="T444" s="41"/>
      <c r="U444" s="42"/>
    </row>
    <row r="445" spans="1:21" ht="9" hidden="1" customHeight="1">
      <c r="A445" s="252">
        <v>87</v>
      </c>
      <c r="B445" s="118" t="s">
        <v>705</v>
      </c>
      <c r="C445" s="213" t="s">
        <v>1126</v>
      </c>
      <c r="D445" s="119" t="s">
        <v>1125</v>
      </c>
      <c r="E445" s="124" t="s">
        <v>742</v>
      </c>
      <c r="F445" s="121" t="s">
        <v>87</v>
      </c>
      <c r="G445" s="122">
        <v>9</v>
      </c>
      <c r="H445" s="122">
        <v>1</v>
      </c>
      <c r="I445" s="123">
        <v>12118</v>
      </c>
      <c r="J445" s="123">
        <v>7792.2</v>
      </c>
      <c r="K445" s="322">
        <v>497</v>
      </c>
      <c r="L445" s="117">
        <f>'Приложение 2 КСП 2018-2019 гг'!G447</f>
        <v>7208108</v>
      </c>
      <c r="M445" s="253">
        <v>0</v>
      </c>
      <c r="N445" s="253">
        <v>0</v>
      </c>
      <c r="O445" s="253">
        <v>0</v>
      </c>
      <c r="P445" s="253">
        <f t="shared" si="90"/>
        <v>7208108</v>
      </c>
      <c r="Q445" s="253">
        <v>0</v>
      </c>
      <c r="R445" s="144">
        <v>0</v>
      </c>
      <c r="S445" s="46" t="s">
        <v>586</v>
      </c>
      <c r="T445" s="41"/>
      <c r="U445" s="42"/>
    </row>
    <row r="446" spans="1:21" ht="9" hidden="1" customHeight="1">
      <c r="A446" s="252">
        <v>88</v>
      </c>
      <c r="B446" s="118" t="s">
        <v>706</v>
      </c>
      <c r="C446" s="213" t="s">
        <v>1126</v>
      </c>
      <c r="D446" s="119" t="s">
        <v>1125</v>
      </c>
      <c r="E446" s="124" t="s">
        <v>601</v>
      </c>
      <c r="F446" s="121" t="s">
        <v>89</v>
      </c>
      <c r="G446" s="122">
        <v>5</v>
      </c>
      <c r="H446" s="122">
        <v>3</v>
      </c>
      <c r="I446" s="123">
        <v>2363.1999999999998</v>
      </c>
      <c r="J446" s="123">
        <v>2127.6</v>
      </c>
      <c r="K446" s="322">
        <v>98</v>
      </c>
      <c r="L446" s="117">
        <f>'Приложение 2 КСП 2018-2019 гг'!G448</f>
        <v>1999399.8</v>
      </c>
      <c r="M446" s="253">
        <v>0</v>
      </c>
      <c r="N446" s="253">
        <v>0</v>
      </c>
      <c r="O446" s="253">
        <v>0</v>
      </c>
      <c r="P446" s="253">
        <f t="shared" si="90"/>
        <v>1999399.8</v>
      </c>
      <c r="Q446" s="253">
        <v>0</v>
      </c>
      <c r="R446" s="144">
        <v>0</v>
      </c>
      <c r="S446" s="46" t="s">
        <v>586</v>
      </c>
      <c r="T446" s="41"/>
      <c r="U446" s="42"/>
    </row>
    <row r="447" spans="1:21" ht="9" hidden="1" customHeight="1">
      <c r="A447" s="252">
        <v>89</v>
      </c>
      <c r="B447" s="118" t="s">
        <v>707</v>
      </c>
      <c r="C447" s="213" t="s">
        <v>1126</v>
      </c>
      <c r="D447" s="119" t="s">
        <v>1125</v>
      </c>
      <c r="E447" s="124" t="s">
        <v>601</v>
      </c>
      <c r="F447" s="121" t="s">
        <v>87</v>
      </c>
      <c r="G447" s="122">
        <v>5</v>
      </c>
      <c r="H447" s="122">
        <v>4</v>
      </c>
      <c r="I447" s="123">
        <v>4689.92</v>
      </c>
      <c r="J447" s="123">
        <v>3368.5</v>
      </c>
      <c r="K447" s="322">
        <v>166</v>
      </c>
      <c r="L447" s="117">
        <f>'Приложение 2 КСП 2018-2019 гг'!G449</f>
        <v>3837434</v>
      </c>
      <c r="M447" s="253">
        <v>0</v>
      </c>
      <c r="N447" s="253">
        <v>0</v>
      </c>
      <c r="O447" s="253">
        <v>0</v>
      </c>
      <c r="P447" s="253">
        <f t="shared" si="90"/>
        <v>3837434</v>
      </c>
      <c r="Q447" s="253">
        <v>0</v>
      </c>
      <c r="R447" s="144">
        <v>0</v>
      </c>
      <c r="S447" s="46" t="s">
        <v>586</v>
      </c>
      <c r="T447" s="41"/>
      <c r="U447" s="42"/>
    </row>
    <row r="448" spans="1:21" ht="9" hidden="1" customHeight="1">
      <c r="A448" s="252">
        <v>90</v>
      </c>
      <c r="B448" s="118" t="s">
        <v>708</v>
      </c>
      <c r="C448" s="213" t="s">
        <v>1127</v>
      </c>
      <c r="D448" s="119" t="s">
        <v>1125</v>
      </c>
      <c r="E448" s="124" t="s">
        <v>607</v>
      </c>
      <c r="F448" s="121" t="s">
        <v>87</v>
      </c>
      <c r="G448" s="122">
        <v>6</v>
      </c>
      <c r="H448" s="122">
        <v>1</v>
      </c>
      <c r="I448" s="123">
        <v>1418.84</v>
      </c>
      <c r="J448" s="123">
        <f>1097.5+249.1</f>
        <v>1346.6</v>
      </c>
      <c r="K448" s="322">
        <v>74</v>
      </c>
      <c r="L448" s="117">
        <f>'Приложение 2 КСП 2018-2019 гг'!G450</f>
        <v>931392</v>
      </c>
      <c r="M448" s="253">
        <v>0</v>
      </c>
      <c r="N448" s="253">
        <v>0</v>
      </c>
      <c r="O448" s="253">
        <v>0</v>
      </c>
      <c r="P448" s="253">
        <f t="shared" si="90"/>
        <v>931392</v>
      </c>
      <c r="Q448" s="253">
        <v>0</v>
      </c>
      <c r="R448" s="144">
        <v>0</v>
      </c>
      <c r="S448" s="46" t="s">
        <v>586</v>
      </c>
      <c r="T448" s="41"/>
      <c r="U448" s="42"/>
    </row>
    <row r="449" spans="1:21" ht="9" hidden="1" customHeight="1">
      <c r="A449" s="252">
        <v>91</v>
      </c>
      <c r="B449" s="118" t="s">
        <v>709</v>
      </c>
      <c r="C449" s="213" t="s">
        <v>1126</v>
      </c>
      <c r="D449" s="119" t="s">
        <v>1125</v>
      </c>
      <c r="E449" s="124" t="s">
        <v>611</v>
      </c>
      <c r="F449" s="121" t="s">
        <v>89</v>
      </c>
      <c r="G449" s="122">
        <v>5</v>
      </c>
      <c r="H449" s="122">
        <v>8</v>
      </c>
      <c r="I449" s="123">
        <v>5751.1</v>
      </c>
      <c r="J449" s="123">
        <v>5183.1000000000004</v>
      </c>
      <c r="K449" s="322">
        <v>279</v>
      </c>
      <c r="L449" s="117">
        <f>'Приложение 2 КСП 2018-2019 гг'!G451</f>
        <v>5001000</v>
      </c>
      <c r="M449" s="253">
        <v>0</v>
      </c>
      <c r="N449" s="253">
        <v>0</v>
      </c>
      <c r="O449" s="253">
        <v>0</v>
      </c>
      <c r="P449" s="253">
        <f t="shared" si="90"/>
        <v>5001000</v>
      </c>
      <c r="Q449" s="253">
        <v>0</v>
      </c>
      <c r="R449" s="144">
        <v>0</v>
      </c>
      <c r="S449" s="46" t="s">
        <v>586</v>
      </c>
      <c r="T449" s="41"/>
      <c r="U449" s="42"/>
    </row>
    <row r="450" spans="1:21" ht="9" hidden="1" customHeight="1">
      <c r="A450" s="252">
        <v>92</v>
      </c>
      <c r="B450" s="118" t="s">
        <v>710</v>
      </c>
      <c r="C450" s="213" t="s">
        <v>1126</v>
      </c>
      <c r="D450" s="119" t="s">
        <v>1125</v>
      </c>
      <c r="E450" s="124" t="s">
        <v>596</v>
      </c>
      <c r="F450" s="121" t="s">
        <v>89</v>
      </c>
      <c r="G450" s="122">
        <v>5</v>
      </c>
      <c r="H450" s="122">
        <v>4</v>
      </c>
      <c r="I450" s="123">
        <v>2967</v>
      </c>
      <c r="J450" s="123">
        <v>2770.2</v>
      </c>
      <c r="K450" s="322">
        <v>115</v>
      </c>
      <c r="L450" s="117">
        <f>'Приложение 2 КСП 2018-2019 гг'!G452</f>
        <v>2633860</v>
      </c>
      <c r="M450" s="253">
        <v>0</v>
      </c>
      <c r="N450" s="253">
        <v>0</v>
      </c>
      <c r="O450" s="253">
        <v>0</v>
      </c>
      <c r="P450" s="253">
        <f t="shared" si="90"/>
        <v>2633860</v>
      </c>
      <c r="Q450" s="253">
        <v>0</v>
      </c>
      <c r="R450" s="144">
        <v>0</v>
      </c>
      <c r="S450" s="46" t="s">
        <v>586</v>
      </c>
      <c r="T450" s="41"/>
      <c r="U450" s="42"/>
    </row>
    <row r="451" spans="1:21" ht="9" hidden="1" customHeight="1">
      <c r="A451" s="252">
        <v>93</v>
      </c>
      <c r="B451" s="118" t="s">
        <v>711</v>
      </c>
      <c r="C451" s="213" t="s">
        <v>1126</v>
      </c>
      <c r="D451" s="119" t="s">
        <v>1125</v>
      </c>
      <c r="E451" s="124" t="s">
        <v>105</v>
      </c>
      <c r="F451" s="121" t="s">
        <v>87</v>
      </c>
      <c r="G451" s="122">
        <v>4</v>
      </c>
      <c r="H451" s="122">
        <v>3</v>
      </c>
      <c r="I451" s="123">
        <v>2170.1</v>
      </c>
      <c r="J451" s="123">
        <v>1780.35</v>
      </c>
      <c r="K451" s="322">
        <v>89</v>
      </c>
      <c r="L451" s="117">
        <f>'Приложение 2 КСП 2018-2019 гг'!G453</f>
        <v>2800644</v>
      </c>
      <c r="M451" s="253">
        <v>0</v>
      </c>
      <c r="N451" s="253">
        <v>0</v>
      </c>
      <c r="O451" s="253">
        <v>0</v>
      </c>
      <c r="P451" s="253">
        <f t="shared" si="90"/>
        <v>2800644</v>
      </c>
      <c r="Q451" s="253">
        <v>0</v>
      </c>
      <c r="R451" s="144">
        <v>0</v>
      </c>
      <c r="S451" s="46" t="s">
        <v>586</v>
      </c>
      <c r="T451" s="41"/>
      <c r="U451" s="42"/>
    </row>
    <row r="452" spans="1:21" ht="9" hidden="1" customHeight="1">
      <c r="A452" s="252">
        <v>94</v>
      </c>
      <c r="B452" s="118" t="s">
        <v>712</v>
      </c>
      <c r="C452" s="213" t="s">
        <v>1126</v>
      </c>
      <c r="D452" s="119" t="s">
        <v>1125</v>
      </c>
      <c r="E452" s="124" t="s">
        <v>601</v>
      </c>
      <c r="F452" s="121" t="s">
        <v>87</v>
      </c>
      <c r="G452" s="122">
        <v>5</v>
      </c>
      <c r="H452" s="122">
        <v>2</v>
      </c>
      <c r="I452" s="123">
        <v>1777.4</v>
      </c>
      <c r="J452" s="123">
        <v>1437.33</v>
      </c>
      <c r="K452" s="322">
        <v>66</v>
      </c>
      <c r="L452" s="117">
        <f>'Приложение 2 КСП 2018-2019 гг'!G454</f>
        <v>1470294</v>
      </c>
      <c r="M452" s="253">
        <v>0</v>
      </c>
      <c r="N452" s="253">
        <v>0</v>
      </c>
      <c r="O452" s="253">
        <v>0</v>
      </c>
      <c r="P452" s="253">
        <f t="shared" si="90"/>
        <v>1470294</v>
      </c>
      <c r="Q452" s="253">
        <v>0</v>
      </c>
      <c r="R452" s="144">
        <v>0</v>
      </c>
      <c r="S452" s="46" t="s">
        <v>586</v>
      </c>
      <c r="T452" s="41"/>
      <c r="U452" s="42"/>
    </row>
    <row r="453" spans="1:21" ht="9" hidden="1" customHeight="1">
      <c r="A453" s="252">
        <v>95</v>
      </c>
      <c r="B453" s="118" t="s">
        <v>713</v>
      </c>
      <c r="C453" s="213" t="s">
        <v>1126</v>
      </c>
      <c r="D453" s="119" t="s">
        <v>1125</v>
      </c>
      <c r="E453" s="124" t="s">
        <v>607</v>
      </c>
      <c r="F453" s="121" t="s">
        <v>89</v>
      </c>
      <c r="G453" s="122">
        <v>5</v>
      </c>
      <c r="H453" s="122">
        <v>4</v>
      </c>
      <c r="I453" s="123">
        <v>3827</v>
      </c>
      <c r="J453" s="123">
        <v>3423.5</v>
      </c>
      <c r="K453" s="322">
        <v>182</v>
      </c>
      <c r="L453" s="117">
        <f>'Приложение 2 КСП 2018-2019 гг'!G455</f>
        <v>2973928</v>
      </c>
      <c r="M453" s="253">
        <v>0</v>
      </c>
      <c r="N453" s="253">
        <v>0</v>
      </c>
      <c r="O453" s="253">
        <v>0</v>
      </c>
      <c r="P453" s="253">
        <f t="shared" si="90"/>
        <v>2973928</v>
      </c>
      <c r="Q453" s="253">
        <v>0</v>
      </c>
      <c r="R453" s="144">
        <v>0</v>
      </c>
      <c r="S453" s="46" t="s">
        <v>586</v>
      </c>
      <c r="T453" s="41"/>
      <c r="U453" s="42"/>
    </row>
    <row r="454" spans="1:21" ht="9" hidden="1" customHeight="1">
      <c r="A454" s="252">
        <v>96</v>
      </c>
      <c r="B454" s="118" t="s">
        <v>714</v>
      </c>
      <c r="C454" s="213" t="s">
        <v>1126</v>
      </c>
      <c r="D454" s="119" t="s">
        <v>1125</v>
      </c>
      <c r="E454" s="124" t="s">
        <v>600</v>
      </c>
      <c r="F454" s="121" t="s">
        <v>89</v>
      </c>
      <c r="G454" s="122">
        <v>5</v>
      </c>
      <c r="H454" s="122">
        <v>11</v>
      </c>
      <c r="I454" s="123">
        <v>8310.5</v>
      </c>
      <c r="J454" s="123">
        <v>7634</v>
      </c>
      <c r="K454" s="322">
        <v>368</v>
      </c>
      <c r="L454" s="117">
        <f>'Приложение 2 КСП 2018-2019 гг'!G456</f>
        <v>6741348</v>
      </c>
      <c r="M454" s="253">
        <v>0</v>
      </c>
      <c r="N454" s="253">
        <v>0</v>
      </c>
      <c r="O454" s="253">
        <v>0</v>
      </c>
      <c r="P454" s="253">
        <f t="shared" si="90"/>
        <v>6741348</v>
      </c>
      <c r="Q454" s="253">
        <v>0</v>
      </c>
      <c r="R454" s="144">
        <v>0</v>
      </c>
      <c r="S454" s="46" t="s">
        <v>586</v>
      </c>
      <c r="T454" s="41"/>
      <c r="U454" s="42"/>
    </row>
    <row r="455" spans="1:21" ht="9" hidden="1" customHeight="1">
      <c r="A455" s="252">
        <v>97</v>
      </c>
      <c r="B455" s="118" t="s">
        <v>715</v>
      </c>
      <c r="C455" s="213" t="s">
        <v>1126</v>
      </c>
      <c r="D455" s="119" t="s">
        <v>1125</v>
      </c>
      <c r="E455" s="124" t="s">
        <v>594</v>
      </c>
      <c r="F455" s="121" t="s">
        <v>89</v>
      </c>
      <c r="G455" s="122">
        <v>5</v>
      </c>
      <c r="H455" s="122">
        <v>4</v>
      </c>
      <c r="I455" s="123">
        <v>4112</v>
      </c>
      <c r="J455" s="123">
        <v>3843</v>
      </c>
      <c r="K455" s="322">
        <v>222</v>
      </c>
      <c r="L455" s="117">
        <f>'Приложение 2 КСП 2018-2019 гг'!G457</f>
        <v>3230646</v>
      </c>
      <c r="M455" s="253">
        <v>0</v>
      </c>
      <c r="N455" s="253">
        <v>0</v>
      </c>
      <c r="O455" s="253">
        <v>0</v>
      </c>
      <c r="P455" s="253">
        <f t="shared" si="90"/>
        <v>3230646</v>
      </c>
      <c r="Q455" s="253">
        <v>0</v>
      </c>
      <c r="R455" s="144">
        <v>0</v>
      </c>
      <c r="S455" s="46" t="s">
        <v>586</v>
      </c>
      <c r="T455" s="41"/>
      <c r="U455" s="42"/>
    </row>
    <row r="456" spans="1:21" ht="9" hidden="1" customHeight="1">
      <c r="A456" s="252">
        <v>98</v>
      </c>
      <c r="B456" s="118" t="s">
        <v>716</v>
      </c>
      <c r="C456" s="213" t="s">
        <v>1126</v>
      </c>
      <c r="D456" s="119" t="s">
        <v>1125</v>
      </c>
      <c r="E456" s="124" t="s">
        <v>593</v>
      </c>
      <c r="F456" s="121" t="s">
        <v>87</v>
      </c>
      <c r="G456" s="122">
        <v>5</v>
      </c>
      <c r="H456" s="122">
        <v>4</v>
      </c>
      <c r="I456" s="123">
        <v>3010.5</v>
      </c>
      <c r="J456" s="123">
        <v>2689</v>
      </c>
      <c r="K456" s="322">
        <v>103</v>
      </c>
      <c r="L456" s="117">
        <f>'Приложение 2 КСП 2018-2019 гг'!G458</f>
        <v>4851000</v>
      </c>
      <c r="M456" s="253">
        <v>0</v>
      </c>
      <c r="N456" s="253">
        <v>0</v>
      </c>
      <c r="O456" s="253">
        <v>0</v>
      </c>
      <c r="P456" s="253">
        <f t="shared" si="90"/>
        <v>4851000</v>
      </c>
      <c r="Q456" s="253">
        <v>0</v>
      </c>
      <c r="R456" s="144">
        <v>0</v>
      </c>
      <c r="S456" s="46" t="s">
        <v>586</v>
      </c>
      <c r="T456" s="41"/>
      <c r="U456" s="42"/>
    </row>
    <row r="457" spans="1:21" ht="9" hidden="1" customHeight="1">
      <c r="A457" s="252">
        <v>99</v>
      </c>
      <c r="B457" s="118" t="s">
        <v>717</v>
      </c>
      <c r="C457" s="213" t="s">
        <v>1126</v>
      </c>
      <c r="D457" s="119" t="s">
        <v>1125</v>
      </c>
      <c r="E457" s="124" t="s">
        <v>743</v>
      </c>
      <c r="F457" s="121" t="s">
        <v>87</v>
      </c>
      <c r="G457" s="122">
        <v>4</v>
      </c>
      <c r="H457" s="122">
        <v>4</v>
      </c>
      <c r="I457" s="123">
        <v>4285.7</v>
      </c>
      <c r="J457" s="123">
        <v>3564.9</v>
      </c>
      <c r="K457" s="322">
        <v>87</v>
      </c>
      <c r="L457" s="117">
        <f>'Приложение 2 КСП 2018-2019 гг'!G459</f>
        <v>5840604</v>
      </c>
      <c r="M457" s="253">
        <v>0</v>
      </c>
      <c r="N457" s="253">
        <v>0</v>
      </c>
      <c r="O457" s="253">
        <v>0</v>
      </c>
      <c r="P457" s="253">
        <f t="shared" si="90"/>
        <v>5840604</v>
      </c>
      <c r="Q457" s="253">
        <v>0</v>
      </c>
      <c r="R457" s="144">
        <v>0</v>
      </c>
      <c r="S457" s="46" t="s">
        <v>586</v>
      </c>
      <c r="T457" s="41"/>
      <c r="U457" s="42"/>
    </row>
    <row r="458" spans="1:21" ht="9" hidden="1" customHeight="1">
      <c r="A458" s="252">
        <v>100</v>
      </c>
      <c r="B458" s="118" t="s">
        <v>718</v>
      </c>
      <c r="C458" s="213" t="s">
        <v>1126</v>
      </c>
      <c r="D458" s="119" t="s">
        <v>1125</v>
      </c>
      <c r="E458" s="124" t="s">
        <v>593</v>
      </c>
      <c r="F458" s="121" t="s">
        <v>89</v>
      </c>
      <c r="G458" s="122">
        <v>5</v>
      </c>
      <c r="H458" s="122">
        <v>8</v>
      </c>
      <c r="I458" s="123">
        <v>6119.3</v>
      </c>
      <c r="J458" s="123">
        <v>5372.1</v>
      </c>
      <c r="K458" s="322">
        <v>130</v>
      </c>
      <c r="L458" s="117">
        <f>'Приложение 2 КСП 2018-2019 гг'!G460</f>
        <v>4664266</v>
      </c>
      <c r="M458" s="253">
        <v>0</v>
      </c>
      <c r="N458" s="253">
        <v>0</v>
      </c>
      <c r="O458" s="253">
        <v>0</v>
      </c>
      <c r="P458" s="253">
        <f t="shared" si="90"/>
        <v>4664266</v>
      </c>
      <c r="Q458" s="253">
        <v>0</v>
      </c>
      <c r="R458" s="144">
        <v>0</v>
      </c>
      <c r="S458" s="46" t="s">
        <v>586</v>
      </c>
      <c r="T458" s="41"/>
      <c r="U458" s="42"/>
    </row>
    <row r="459" spans="1:21" ht="9" hidden="1" customHeight="1">
      <c r="A459" s="252">
        <v>101</v>
      </c>
      <c r="B459" s="118" t="s">
        <v>719</v>
      </c>
      <c r="C459" s="213" t="s">
        <v>1126</v>
      </c>
      <c r="D459" s="119" t="s">
        <v>1125</v>
      </c>
      <c r="E459" s="124" t="s">
        <v>593</v>
      </c>
      <c r="F459" s="121" t="s">
        <v>89</v>
      </c>
      <c r="G459" s="122">
        <v>5</v>
      </c>
      <c r="H459" s="122">
        <v>8</v>
      </c>
      <c r="I459" s="123">
        <v>6146.2</v>
      </c>
      <c r="J459" s="123">
        <v>5492.3</v>
      </c>
      <c r="K459" s="322">
        <v>273</v>
      </c>
      <c r="L459" s="117">
        <f>'Приложение 2 КСП 2018-2019 гг'!G461</f>
        <v>4634260</v>
      </c>
      <c r="M459" s="253">
        <v>0</v>
      </c>
      <c r="N459" s="253">
        <v>0</v>
      </c>
      <c r="O459" s="253">
        <v>0</v>
      </c>
      <c r="P459" s="253">
        <f t="shared" si="90"/>
        <v>4634260</v>
      </c>
      <c r="Q459" s="253">
        <v>0</v>
      </c>
      <c r="R459" s="144">
        <v>0</v>
      </c>
      <c r="S459" s="46" t="s">
        <v>586</v>
      </c>
      <c r="T459" s="41"/>
      <c r="U459" s="42"/>
    </row>
    <row r="460" spans="1:21" ht="9" hidden="1" customHeight="1">
      <c r="A460" s="252">
        <v>102</v>
      </c>
      <c r="B460" s="118" t="s">
        <v>720</v>
      </c>
      <c r="C460" s="213" t="s">
        <v>1126</v>
      </c>
      <c r="D460" s="119" t="s">
        <v>1125</v>
      </c>
      <c r="E460" s="124" t="s">
        <v>590</v>
      </c>
      <c r="F460" s="121" t="s">
        <v>87</v>
      </c>
      <c r="G460" s="122">
        <v>5</v>
      </c>
      <c r="H460" s="122">
        <v>6</v>
      </c>
      <c r="I460" s="123">
        <v>4897.5</v>
      </c>
      <c r="J460" s="123">
        <v>4166.3</v>
      </c>
      <c r="K460" s="322">
        <v>289</v>
      </c>
      <c r="L460" s="117">
        <f>'Приложение 2 КСП 2018-2019 гг'!G462</f>
        <v>4577582</v>
      </c>
      <c r="M460" s="253">
        <v>0</v>
      </c>
      <c r="N460" s="253">
        <v>0</v>
      </c>
      <c r="O460" s="253">
        <v>0</v>
      </c>
      <c r="P460" s="253">
        <f t="shared" si="90"/>
        <v>4577582</v>
      </c>
      <c r="Q460" s="253">
        <v>0</v>
      </c>
      <c r="R460" s="144">
        <v>0</v>
      </c>
      <c r="S460" s="46" t="s">
        <v>586</v>
      </c>
      <c r="T460" s="41"/>
      <c r="U460" s="42"/>
    </row>
    <row r="461" spans="1:21" ht="9" hidden="1" customHeight="1">
      <c r="A461" s="252">
        <v>103</v>
      </c>
      <c r="B461" s="118" t="s">
        <v>721</v>
      </c>
      <c r="C461" s="213" t="s">
        <v>1126</v>
      </c>
      <c r="D461" s="119" t="s">
        <v>1125</v>
      </c>
      <c r="E461" s="124" t="s">
        <v>593</v>
      </c>
      <c r="F461" s="121" t="s">
        <v>89</v>
      </c>
      <c r="G461" s="122">
        <v>5</v>
      </c>
      <c r="H461" s="122">
        <v>4</v>
      </c>
      <c r="I461" s="123">
        <v>3634.2</v>
      </c>
      <c r="J461" s="123">
        <v>3181.1</v>
      </c>
      <c r="K461" s="322">
        <v>179</v>
      </c>
      <c r="L461" s="117">
        <f>'Приложение 2 КСП 2018-2019 гг'!G463</f>
        <v>3200640</v>
      </c>
      <c r="M461" s="253">
        <v>0</v>
      </c>
      <c r="N461" s="253">
        <v>0</v>
      </c>
      <c r="O461" s="253">
        <v>0</v>
      </c>
      <c r="P461" s="253">
        <f t="shared" si="90"/>
        <v>3200640</v>
      </c>
      <c r="Q461" s="253">
        <v>0</v>
      </c>
      <c r="R461" s="144">
        <v>0</v>
      </c>
      <c r="S461" s="46" t="s">
        <v>586</v>
      </c>
      <c r="T461" s="41"/>
      <c r="U461" s="42"/>
    </row>
    <row r="462" spans="1:21" ht="9" hidden="1" customHeight="1">
      <c r="A462" s="252">
        <v>104</v>
      </c>
      <c r="B462" s="118" t="s">
        <v>722</v>
      </c>
      <c r="C462" s="213" t="s">
        <v>1126</v>
      </c>
      <c r="D462" s="119" t="s">
        <v>1125</v>
      </c>
      <c r="E462" s="124" t="s">
        <v>609</v>
      </c>
      <c r="F462" s="121" t="s">
        <v>87</v>
      </c>
      <c r="G462" s="122">
        <v>5</v>
      </c>
      <c r="H462" s="122">
        <v>2</v>
      </c>
      <c r="I462" s="123">
        <v>1998.8</v>
      </c>
      <c r="J462" s="123">
        <v>1800.8</v>
      </c>
      <c r="K462" s="322">
        <v>96</v>
      </c>
      <c r="L462" s="117">
        <f>'Приложение 2 КСП 2018-2019 гг'!G464</f>
        <v>1690338</v>
      </c>
      <c r="M462" s="253">
        <v>0</v>
      </c>
      <c r="N462" s="253">
        <v>0</v>
      </c>
      <c r="O462" s="253">
        <v>0</v>
      </c>
      <c r="P462" s="253">
        <f t="shared" si="90"/>
        <v>1690338</v>
      </c>
      <c r="Q462" s="253">
        <v>0</v>
      </c>
      <c r="R462" s="144">
        <v>0</v>
      </c>
      <c r="S462" s="46" t="s">
        <v>586</v>
      </c>
      <c r="T462" s="41"/>
      <c r="U462" s="42"/>
    </row>
    <row r="463" spans="1:21" ht="9" hidden="1" customHeight="1">
      <c r="A463" s="252">
        <v>105</v>
      </c>
      <c r="B463" s="118" t="s">
        <v>723</v>
      </c>
      <c r="C463" s="213" t="s">
        <v>1126</v>
      </c>
      <c r="D463" s="119" t="s">
        <v>1125</v>
      </c>
      <c r="E463" s="120">
        <v>1961</v>
      </c>
      <c r="F463" s="121" t="s">
        <v>87</v>
      </c>
      <c r="G463" s="122">
        <v>4</v>
      </c>
      <c r="H463" s="122">
        <v>3</v>
      </c>
      <c r="I463" s="123">
        <v>2165.4</v>
      </c>
      <c r="J463" s="123">
        <v>1875.4</v>
      </c>
      <c r="K463" s="322">
        <v>92</v>
      </c>
      <c r="L463" s="117">
        <f>'Приложение 2 КСП 2018-2019 гг'!G465</f>
        <v>2952642</v>
      </c>
      <c r="M463" s="253">
        <v>0</v>
      </c>
      <c r="N463" s="253">
        <v>0</v>
      </c>
      <c r="O463" s="253">
        <v>0</v>
      </c>
      <c r="P463" s="253">
        <f t="shared" si="90"/>
        <v>2952642</v>
      </c>
      <c r="Q463" s="253">
        <v>0</v>
      </c>
      <c r="R463" s="144">
        <v>0</v>
      </c>
      <c r="S463" s="46" t="s">
        <v>586</v>
      </c>
      <c r="T463" s="41"/>
      <c r="U463" s="42"/>
    </row>
    <row r="464" spans="1:21" ht="9" hidden="1" customHeight="1">
      <c r="A464" s="252">
        <v>106</v>
      </c>
      <c r="B464" s="118" t="s">
        <v>724</v>
      </c>
      <c r="C464" s="213" t="s">
        <v>1126</v>
      </c>
      <c r="D464" s="119" t="s">
        <v>1125</v>
      </c>
      <c r="E464" s="120">
        <v>1971</v>
      </c>
      <c r="F464" s="121" t="s">
        <v>89</v>
      </c>
      <c r="G464" s="122">
        <v>5</v>
      </c>
      <c r="H464" s="122">
        <v>8</v>
      </c>
      <c r="I464" s="123">
        <v>6144.7</v>
      </c>
      <c r="J464" s="123">
        <v>5519.9</v>
      </c>
      <c r="K464" s="322">
        <v>6</v>
      </c>
      <c r="L464" s="117">
        <f>'Приложение 2 КСП 2018-2019 гг'!G466</f>
        <v>5197706</v>
      </c>
      <c r="M464" s="253">
        <v>0</v>
      </c>
      <c r="N464" s="253">
        <v>0</v>
      </c>
      <c r="O464" s="253">
        <v>0</v>
      </c>
      <c r="P464" s="253">
        <f t="shared" si="90"/>
        <v>5197706</v>
      </c>
      <c r="Q464" s="253">
        <v>0</v>
      </c>
      <c r="R464" s="144">
        <v>0</v>
      </c>
      <c r="S464" s="46" t="s">
        <v>586</v>
      </c>
      <c r="T464" s="41"/>
      <c r="U464" s="42"/>
    </row>
    <row r="465" spans="1:21" ht="9" hidden="1" customHeight="1">
      <c r="A465" s="252">
        <v>107</v>
      </c>
      <c r="B465" s="118" t="s">
        <v>725</v>
      </c>
      <c r="C465" s="213" t="s">
        <v>1126</v>
      </c>
      <c r="D465" s="119" t="s">
        <v>1125</v>
      </c>
      <c r="E465" s="120">
        <v>1959</v>
      </c>
      <c r="F465" s="121" t="s">
        <v>87</v>
      </c>
      <c r="G465" s="122">
        <v>4</v>
      </c>
      <c r="H465" s="122">
        <v>2</v>
      </c>
      <c r="I465" s="123">
        <v>1394</v>
      </c>
      <c r="J465" s="123">
        <v>1292.4000000000001</v>
      </c>
      <c r="K465" s="322">
        <v>49</v>
      </c>
      <c r="L465" s="117">
        <f>'Приложение 2 КСП 2018-2019 гг'!G467</f>
        <v>1911294</v>
      </c>
      <c r="M465" s="253">
        <v>0</v>
      </c>
      <c r="N465" s="253">
        <v>0</v>
      </c>
      <c r="O465" s="253">
        <v>0</v>
      </c>
      <c r="P465" s="253">
        <f t="shared" si="90"/>
        <v>1911294</v>
      </c>
      <c r="Q465" s="253">
        <v>0</v>
      </c>
      <c r="R465" s="144">
        <v>0</v>
      </c>
      <c r="S465" s="46" t="s">
        <v>586</v>
      </c>
      <c r="T465" s="41"/>
      <c r="U465" s="42"/>
    </row>
    <row r="466" spans="1:21" ht="9" hidden="1" customHeight="1">
      <c r="A466" s="252">
        <v>108</v>
      </c>
      <c r="B466" s="118" t="s">
        <v>726</v>
      </c>
      <c r="C466" s="213" t="s">
        <v>1126</v>
      </c>
      <c r="D466" s="119" t="s">
        <v>1125</v>
      </c>
      <c r="E466" s="120">
        <v>1962</v>
      </c>
      <c r="F466" s="121" t="s">
        <v>87</v>
      </c>
      <c r="G466" s="122">
        <v>5</v>
      </c>
      <c r="H466" s="122">
        <v>2</v>
      </c>
      <c r="I466" s="123">
        <v>1673.7</v>
      </c>
      <c r="J466" s="123">
        <v>1312.2</v>
      </c>
      <c r="K466" s="322">
        <v>14</v>
      </c>
      <c r="L466" s="117">
        <f>'Приложение 2 КСП 2018-2019 гг'!G468</f>
        <v>1875720</v>
      </c>
      <c r="M466" s="253">
        <v>0</v>
      </c>
      <c r="N466" s="253">
        <v>0</v>
      </c>
      <c r="O466" s="253">
        <v>0</v>
      </c>
      <c r="P466" s="253">
        <f t="shared" si="90"/>
        <v>1875720</v>
      </c>
      <c r="Q466" s="253">
        <v>0</v>
      </c>
      <c r="R466" s="144">
        <v>0</v>
      </c>
      <c r="S466" s="46" t="s">
        <v>586</v>
      </c>
      <c r="T466" s="41"/>
      <c r="U466" s="42"/>
    </row>
    <row r="467" spans="1:21" ht="9" hidden="1" customHeight="1">
      <c r="A467" s="252">
        <v>109</v>
      </c>
      <c r="B467" s="118" t="s">
        <v>727</v>
      </c>
      <c r="C467" s="213" t="s">
        <v>1126</v>
      </c>
      <c r="D467" s="119" t="s">
        <v>1125</v>
      </c>
      <c r="E467" s="120">
        <v>1985</v>
      </c>
      <c r="F467" s="121" t="s">
        <v>87</v>
      </c>
      <c r="G467" s="122">
        <v>5</v>
      </c>
      <c r="H467" s="122">
        <v>1</v>
      </c>
      <c r="I467" s="123">
        <v>3962.3</v>
      </c>
      <c r="J467" s="123">
        <v>2222.3000000000002</v>
      </c>
      <c r="K467" s="322">
        <v>246</v>
      </c>
      <c r="L467" s="117">
        <f>'Приложение 2 КСП 2018-2019 гг'!G469</f>
        <v>3394012</v>
      </c>
      <c r="M467" s="253">
        <v>0</v>
      </c>
      <c r="N467" s="253">
        <v>0</v>
      </c>
      <c r="O467" s="253">
        <v>0</v>
      </c>
      <c r="P467" s="253">
        <f t="shared" si="90"/>
        <v>3394012</v>
      </c>
      <c r="Q467" s="253">
        <v>0</v>
      </c>
      <c r="R467" s="144">
        <v>0</v>
      </c>
      <c r="S467" s="46" t="s">
        <v>586</v>
      </c>
      <c r="T467" s="41"/>
      <c r="U467" s="42"/>
    </row>
    <row r="468" spans="1:21" ht="9" hidden="1" customHeight="1">
      <c r="A468" s="252">
        <v>110</v>
      </c>
      <c r="B468" s="118" t="s">
        <v>728</v>
      </c>
      <c r="C468" s="213" t="s">
        <v>1126</v>
      </c>
      <c r="D468" s="119" t="s">
        <v>1125</v>
      </c>
      <c r="E468" s="120">
        <v>1947</v>
      </c>
      <c r="F468" s="121" t="s">
        <v>87</v>
      </c>
      <c r="G468" s="122">
        <v>4</v>
      </c>
      <c r="H468" s="122">
        <v>6</v>
      </c>
      <c r="I468" s="123">
        <v>4305.8</v>
      </c>
      <c r="J468" s="123">
        <f>3057.1+730.1</f>
        <v>3787.2</v>
      </c>
      <c r="K468" s="322">
        <v>166</v>
      </c>
      <c r="L468" s="117">
        <f>'Приложение 2 КСП 2018-2019 гг'!G470</f>
        <v>5675670</v>
      </c>
      <c r="M468" s="253">
        <v>0</v>
      </c>
      <c r="N468" s="253">
        <v>0</v>
      </c>
      <c r="O468" s="253">
        <v>0</v>
      </c>
      <c r="P468" s="253">
        <f t="shared" si="90"/>
        <v>5675670</v>
      </c>
      <c r="Q468" s="253">
        <v>0</v>
      </c>
      <c r="R468" s="144">
        <v>0</v>
      </c>
      <c r="S468" s="46" t="s">
        <v>586</v>
      </c>
      <c r="T468" s="41"/>
      <c r="U468" s="42"/>
    </row>
    <row r="469" spans="1:21" ht="9" hidden="1" customHeight="1">
      <c r="A469" s="252">
        <v>111</v>
      </c>
      <c r="B469" s="118" t="s">
        <v>729</v>
      </c>
      <c r="C469" s="213" t="s">
        <v>1126</v>
      </c>
      <c r="D469" s="119" t="s">
        <v>1125</v>
      </c>
      <c r="E469" s="120">
        <v>1977</v>
      </c>
      <c r="F469" s="121" t="s">
        <v>89</v>
      </c>
      <c r="G469" s="122">
        <v>5</v>
      </c>
      <c r="H469" s="122">
        <v>14</v>
      </c>
      <c r="I469" s="123">
        <v>11099.2</v>
      </c>
      <c r="J469" s="123">
        <v>10213</v>
      </c>
      <c r="K469" s="322">
        <v>499</v>
      </c>
      <c r="L469" s="117">
        <f>'Приложение 2 КСП 2018-2019 гг'!G471</f>
        <v>8835100</v>
      </c>
      <c r="M469" s="253">
        <v>0</v>
      </c>
      <c r="N469" s="253">
        <v>0</v>
      </c>
      <c r="O469" s="253">
        <v>0</v>
      </c>
      <c r="P469" s="253">
        <f t="shared" si="90"/>
        <v>8835100</v>
      </c>
      <c r="Q469" s="253">
        <v>0</v>
      </c>
      <c r="R469" s="144">
        <v>0</v>
      </c>
      <c r="S469" s="46" t="s">
        <v>586</v>
      </c>
      <c r="T469" s="41"/>
      <c r="U469" s="42"/>
    </row>
    <row r="470" spans="1:21" ht="9" hidden="1" customHeight="1">
      <c r="A470" s="252">
        <v>112</v>
      </c>
      <c r="B470" s="118" t="s">
        <v>730</v>
      </c>
      <c r="C470" s="213" t="s">
        <v>1126</v>
      </c>
      <c r="D470" s="119" t="s">
        <v>1125</v>
      </c>
      <c r="E470" s="120">
        <v>1978</v>
      </c>
      <c r="F470" s="121" t="s">
        <v>89</v>
      </c>
      <c r="G470" s="122">
        <v>5</v>
      </c>
      <c r="H470" s="122">
        <v>13</v>
      </c>
      <c r="I470" s="123">
        <v>10207.799999999999</v>
      </c>
      <c r="J470" s="123">
        <v>9363</v>
      </c>
      <c r="K470" s="322">
        <v>468</v>
      </c>
      <c r="L470" s="117">
        <f>'Приложение 2 КСП 2018-2019 гг'!G472</f>
        <v>7968260</v>
      </c>
      <c r="M470" s="253">
        <v>0</v>
      </c>
      <c r="N470" s="253">
        <v>0</v>
      </c>
      <c r="O470" s="253">
        <v>0</v>
      </c>
      <c r="P470" s="253">
        <f t="shared" si="90"/>
        <v>7968260</v>
      </c>
      <c r="Q470" s="253">
        <v>0</v>
      </c>
      <c r="R470" s="144">
        <v>0</v>
      </c>
      <c r="S470" s="46" t="s">
        <v>586</v>
      </c>
      <c r="T470" s="41"/>
      <c r="U470" s="42"/>
    </row>
    <row r="471" spans="1:21" ht="9" hidden="1" customHeight="1">
      <c r="A471" s="252">
        <v>113</v>
      </c>
      <c r="B471" s="118" t="s">
        <v>731</v>
      </c>
      <c r="C471" s="213" t="s">
        <v>1126</v>
      </c>
      <c r="D471" s="119" t="s">
        <v>1125</v>
      </c>
      <c r="E471" s="120">
        <v>1975</v>
      </c>
      <c r="F471" s="121" t="s">
        <v>89</v>
      </c>
      <c r="G471" s="122">
        <v>5</v>
      </c>
      <c r="H471" s="122">
        <v>4</v>
      </c>
      <c r="I471" s="123">
        <v>3607</v>
      </c>
      <c r="J471" s="123">
        <v>3306</v>
      </c>
      <c r="K471" s="322">
        <v>172</v>
      </c>
      <c r="L471" s="117">
        <f>'Приложение 2 КСП 2018-2019 гг'!G473</f>
        <v>2767220</v>
      </c>
      <c r="M471" s="253">
        <v>0</v>
      </c>
      <c r="N471" s="253">
        <v>0</v>
      </c>
      <c r="O471" s="253">
        <v>0</v>
      </c>
      <c r="P471" s="253">
        <f t="shared" si="90"/>
        <v>2767220</v>
      </c>
      <c r="Q471" s="253">
        <v>0</v>
      </c>
      <c r="R471" s="144">
        <v>0</v>
      </c>
      <c r="S471" s="46" t="s">
        <v>586</v>
      </c>
      <c r="T471" s="41"/>
      <c r="U471" s="42"/>
    </row>
    <row r="472" spans="1:21" ht="9" hidden="1" customHeight="1">
      <c r="A472" s="252">
        <v>114</v>
      </c>
      <c r="B472" s="118" t="s">
        <v>732</v>
      </c>
      <c r="C472" s="213" t="s">
        <v>1126</v>
      </c>
      <c r="D472" s="119" t="s">
        <v>1125</v>
      </c>
      <c r="E472" s="120">
        <v>1976</v>
      </c>
      <c r="F472" s="121" t="s">
        <v>89</v>
      </c>
      <c r="G472" s="122">
        <v>5</v>
      </c>
      <c r="H472" s="122">
        <v>8</v>
      </c>
      <c r="I472" s="123">
        <v>6115.9</v>
      </c>
      <c r="J472" s="123">
        <v>5609</v>
      </c>
      <c r="K472" s="322">
        <v>283</v>
      </c>
      <c r="L472" s="117">
        <f>'Приложение 2 КСП 2018-2019 гг'!G474</f>
        <v>4877642</v>
      </c>
      <c r="M472" s="253">
        <v>0</v>
      </c>
      <c r="N472" s="253">
        <v>0</v>
      </c>
      <c r="O472" s="253">
        <v>0</v>
      </c>
      <c r="P472" s="253">
        <f t="shared" si="90"/>
        <v>4877642</v>
      </c>
      <c r="Q472" s="253">
        <v>0</v>
      </c>
      <c r="R472" s="144">
        <v>0</v>
      </c>
      <c r="S472" s="46" t="s">
        <v>586</v>
      </c>
      <c r="T472" s="41"/>
      <c r="U472" s="42"/>
    </row>
    <row r="473" spans="1:21" ht="9" hidden="1" customHeight="1">
      <c r="A473" s="252">
        <v>115</v>
      </c>
      <c r="B473" s="118" t="s">
        <v>733</v>
      </c>
      <c r="C473" s="213" t="s">
        <v>1126</v>
      </c>
      <c r="D473" s="119" t="s">
        <v>1125</v>
      </c>
      <c r="E473" s="120">
        <v>1983</v>
      </c>
      <c r="F473" s="121" t="s">
        <v>89</v>
      </c>
      <c r="G473" s="122">
        <v>5</v>
      </c>
      <c r="H473" s="122">
        <v>3</v>
      </c>
      <c r="I473" s="123">
        <v>2350.5</v>
      </c>
      <c r="J473" s="123">
        <v>2070.6</v>
      </c>
      <c r="K473" s="322">
        <v>101</v>
      </c>
      <c r="L473" s="117">
        <f>'Приложение 2 КСП 2018-2019 гг'!G475</f>
        <v>5204374</v>
      </c>
      <c r="M473" s="253">
        <v>0</v>
      </c>
      <c r="N473" s="253">
        <v>0</v>
      </c>
      <c r="O473" s="253">
        <v>0</v>
      </c>
      <c r="P473" s="253">
        <f t="shared" si="90"/>
        <v>5204374</v>
      </c>
      <c r="Q473" s="253">
        <v>0</v>
      </c>
      <c r="R473" s="144">
        <v>0</v>
      </c>
      <c r="S473" s="46" t="s">
        <v>586</v>
      </c>
      <c r="T473" s="41"/>
      <c r="U473" s="42"/>
    </row>
    <row r="474" spans="1:21" ht="9" hidden="1" customHeight="1">
      <c r="A474" s="252">
        <v>116</v>
      </c>
      <c r="B474" s="118" t="s">
        <v>734</v>
      </c>
      <c r="C474" s="213" t="s">
        <v>1126</v>
      </c>
      <c r="D474" s="119" t="s">
        <v>1125</v>
      </c>
      <c r="E474" s="120">
        <v>1982</v>
      </c>
      <c r="F474" s="121" t="s">
        <v>89</v>
      </c>
      <c r="G474" s="122">
        <v>3</v>
      </c>
      <c r="H474" s="122">
        <v>3</v>
      </c>
      <c r="I474" s="123">
        <v>1493</v>
      </c>
      <c r="J474" s="123">
        <v>1300</v>
      </c>
      <c r="K474" s="322">
        <v>172</v>
      </c>
      <c r="L474" s="117">
        <f>'Приложение 2 КСП 2018-2019 гг'!G476</f>
        <v>2564562</v>
      </c>
      <c r="M474" s="253">
        <v>0</v>
      </c>
      <c r="N474" s="253">
        <v>0</v>
      </c>
      <c r="O474" s="253">
        <v>0</v>
      </c>
      <c r="P474" s="253">
        <f t="shared" si="90"/>
        <v>2564562</v>
      </c>
      <c r="Q474" s="253">
        <v>0</v>
      </c>
      <c r="R474" s="144">
        <v>0</v>
      </c>
      <c r="S474" s="46" t="s">
        <v>586</v>
      </c>
      <c r="T474" s="41"/>
      <c r="U474" s="42"/>
    </row>
    <row r="475" spans="1:21" ht="9" hidden="1" customHeight="1">
      <c r="A475" s="252">
        <v>117</v>
      </c>
      <c r="B475" s="118" t="s">
        <v>735</v>
      </c>
      <c r="C475" s="213" t="s">
        <v>1126</v>
      </c>
      <c r="D475" s="119" t="s">
        <v>1125</v>
      </c>
      <c r="E475" s="120">
        <v>1981</v>
      </c>
      <c r="F475" s="121" t="s">
        <v>89</v>
      </c>
      <c r="G475" s="122">
        <v>3</v>
      </c>
      <c r="H475" s="122">
        <v>3</v>
      </c>
      <c r="I475" s="123">
        <v>1522.4</v>
      </c>
      <c r="J475" s="123">
        <v>1300</v>
      </c>
      <c r="K475" s="322">
        <v>68</v>
      </c>
      <c r="L475" s="117">
        <f>'Приложение 2 КСП 2018-2019 гг'!G477</f>
        <v>2564562</v>
      </c>
      <c r="M475" s="253">
        <v>0</v>
      </c>
      <c r="N475" s="253">
        <v>0</v>
      </c>
      <c r="O475" s="253">
        <v>0</v>
      </c>
      <c r="P475" s="253">
        <f t="shared" si="90"/>
        <v>2564562</v>
      </c>
      <c r="Q475" s="253">
        <v>0</v>
      </c>
      <c r="R475" s="144">
        <v>0</v>
      </c>
      <c r="S475" s="46" t="s">
        <v>586</v>
      </c>
      <c r="T475" s="41"/>
      <c r="U475" s="42"/>
    </row>
    <row r="476" spans="1:21" ht="9" hidden="1" customHeight="1">
      <c r="A476" s="252">
        <v>118</v>
      </c>
      <c r="B476" s="118" t="s">
        <v>736</v>
      </c>
      <c r="C476" s="213" t="s">
        <v>1126</v>
      </c>
      <c r="D476" s="119" t="s">
        <v>1125</v>
      </c>
      <c r="E476" s="120">
        <v>1982</v>
      </c>
      <c r="F476" s="121" t="s">
        <v>89</v>
      </c>
      <c r="G476" s="122">
        <v>3</v>
      </c>
      <c r="H476" s="122">
        <v>3</v>
      </c>
      <c r="I476" s="123">
        <v>1497.7</v>
      </c>
      <c r="J476" s="123">
        <v>1304.7</v>
      </c>
      <c r="K476" s="322">
        <v>63</v>
      </c>
      <c r="L476" s="117">
        <f>'Приложение 2 КСП 2018-2019 гг'!G478</f>
        <v>2564562</v>
      </c>
      <c r="M476" s="253">
        <v>0</v>
      </c>
      <c r="N476" s="253">
        <v>0</v>
      </c>
      <c r="O476" s="253">
        <v>0</v>
      </c>
      <c r="P476" s="253">
        <f t="shared" si="90"/>
        <v>2564562</v>
      </c>
      <c r="Q476" s="253">
        <v>0</v>
      </c>
      <c r="R476" s="144">
        <v>0</v>
      </c>
      <c r="S476" s="46" t="s">
        <v>586</v>
      </c>
      <c r="T476" s="41"/>
      <c r="U476" s="42"/>
    </row>
    <row r="477" spans="1:21" ht="9" hidden="1" customHeight="1">
      <c r="A477" s="252">
        <v>119</v>
      </c>
      <c r="B477" s="118" t="s">
        <v>737</v>
      </c>
      <c r="C477" s="213" t="s">
        <v>1126</v>
      </c>
      <c r="D477" s="119" t="s">
        <v>1125</v>
      </c>
      <c r="E477" s="120">
        <v>1981</v>
      </c>
      <c r="F477" s="121" t="s">
        <v>89</v>
      </c>
      <c r="G477" s="122">
        <v>3</v>
      </c>
      <c r="H477" s="122">
        <v>3</v>
      </c>
      <c r="I477" s="123">
        <v>1525.4</v>
      </c>
      <c r="J477" s="123">
        <v>1303</v>
      </c>
      <c r="K477" s="322">
        <v>68</v>
      </c>
      <c r="L477" s="117">
        <f>'Приложение 2 КСП 2018-2019 гг'!G479</f>
        <v>2564562</v>
      </c>
      <c r="M477" s="253">
        <v>0</v>
      </c>
      <c r="N477" s="253">
        <v>0</v>
      </c>
      <c r="O477" s="253">
        <v>0</v>
      </c>
      <c r="P477" s="253">
        <f t="shared" si="90"/>
        <v>2564562</v>
      </c>
      <c r="Q477" s="253">
        <v>0</v>
      </c>
      <c r="R477" s="144">
        <v>0</v>
      </c>
      <c r="S477" s="46" t="s">
        <v>586</v>
      </c>
      <c r="T477" s="41"/>
      <c r="U477" s="42"/>
    </row>
    <row r="478" spans="1:21" ht="9" hidden="1" customHeight="1">
      <c r="A478" s="252">
        <v>120</v>
      </c>
      <c r="B478" s="118" t="s">
        <v>738</v>
      </c>
      <c r="C478" s="213" t="s">
        <v>1126</v>
      </c>
      <c r="D478" s="119" t="s">
        <v>1125</v>
      </c>
      <c r="E478" s="120">
        <v>1984</v>
      </c>
      <c r="F478" s="121" t="s">
        <v>89</v>
      </c>
      <c r="G478" s="122">
        <v>3</v>
      </c>
      <c r="H478" s="122">
        <v>3</v>
      </c>
      <c r="I478" s="123">
        <v>1503.2</v>
      </c>
      <c r="J478" s="123">
        <v>1300</v>
      </c>
      <c r="K478" s="322">
        <v>61</v>
      </c>
      <c r="L478" s="117">
        <f>'Приложение 2 КСП 2018-2019 гг'!G480</f>
        <v>1222452</v>
      </c>
      <c r="M478" s="253">
        <v>0</v>
      </c>
      <c r="N478" s="253">
        <v>0</v>
      </c>
      <c r="O478" s="253">
        <v>0</v>
      </c>
      <c r="P478" s="253">
        <f t="shared" si="90"/>
        <v>1222452</v>
      </c>
      <c r="Q478" s="253">
        <v>0</v>
      </c>
      <c r="R478" s="144">
        <v>0</v>
      </c>
      <c r="S478" s="46" t="s">
        <v>586</v>
      </c>
      <c r="T478" s="41"/>
      <c r="U478" s="42"/>
    </row>
    <row r="479" spans="1:21" ht="9" hidden="1" customHeight="1">
      <c r="A479" s="252">
        <v>121</v>
      </c>
      <c r="B479" s="118" t="s">
        <v>739</v>
      </c>
      <c r="C479" s="213" t="s">
        <v>1126</v>
      </c>
      <c r="D479" s="119" t="s">
        <v>1125</v>
      </c>
      <c r="E479" s="120">
        <v>1981</v>
      </c>
      <c r="F479" s="121" t="s">
        <v>89</v>
      </c>
      <c r="G479" s="122">
        <v>3</v>
      </c>
      <c r="H479" s="122">
        <v>3</v>
      </c>
      <c r="I479" s="123">
        <v>1524.4</v>
      </c>
      <c r="J479" s="123">
        <v>1303</v>
      </c>
      <c r="K479" s="322">
        <v>61</v>
      </c>
      <c r="L479" s="117">
        <f>'Приложение 2 КСП 2018-2019 гг'!G481</f>
        <v>2564562</v>
      </c>
      <c r="M479" s="253">
        <v>0</v>
      </c>
      <c r="N479" s="253">
        <v>0</v>
      </c>
      <c r="O479" s="253">
        <v>0</v>
      </c>
      <c r="P479" s="253">
        <f t="shared" si="90"/>
        <v>2564562</v>
      </c>
      <c r="Q479" s="253">
        <v>0</v>
      </c>
      <c r="R479" s="144">
        <v>0</v>
      </c>
      <c r="S479" s="46" t="s">
        <v>586</v>
      </c>
      <c r="T479" s="41"/>
      <c r="U479" s="42"/>
    </row>
    <row r="480" spans="1:21" ht="9" hidden="1" customHeight="1">
      <c r="A480" s="252">
        <v>122</v>
      </c>
      <c r="B480" s="118" t="s">
        <v>740</v>
      </c>
      <c r="C480" s="213" t="s">
        <v>1126</v>
      </c>
      <c r="D480" s="119" t="s">
        <v>1125</v>
      </c>
      <c r="E480" s="120">
        <v>1987</v>
      </c>
      <c r="F480" s="121" t="s">
        <v>89</v>
      </c>
      <c r="G480" s="122">
        <v>5</v>
      </c>
      <c r="H480" s="122">
        <v>3</v>
      </c>
      <c r="I480" s="123">
        <v>2533.8000000000002</v>
      </c>
      <c r="J480" s="123">
        <v>2162.9</v>
      </c>
      <c r="K480" s="322">
        <v>33</v>
      </c>
      <c r="L480" s="117">
        <f>'Приложение 2 КСП 2018-2019 гг'!G482</f>
        <v>2050410</v>
      </c>
      <c r="M480" s="253">
        <v>0</v>
      </c>
      <c r="N480" s="253">
        <v>0</v>
      </c>
      <c r="O480" s="253">
        <v>0</v>
      </c>
      <c r="P480" s="253">
        <f t="shared" si="90"/>
        <v>2050410</v>
      </c>
      <c r="Q480" s="253">
        <v>0</v>
      </c>
      <c r="R480" s="144">
        <v>0</v>
      </c>
      <c r="S480" s="46" t="s">
        <v>586</v>
      </c>
      <c r="T480" s="41"/>
      <c r="U480" s="42"/>
    </row>
    <row r="481" spans="1:21" ht="9" hidden="1" customHeight="1">
      <c r="A481" s="252">
        <v>123</v>
      </c>
      <c r="B481" s="112" t="s">
        <v>1051</v>
      </c>
      <c r="C481" s="211" t="s">
        <v>1126</v>
      </c>
      <c r="D481" s="113" t="s">
        <v>1124</v>
      </c>
      <c r="E481" s="114">
        <v>1981</v>
      </c>
      <c r="F481" s="115" t="s">
        <v>89</v>
      </c>
      <c r="G481" s="116">
        <v>5</v>
      </c>
      <c r="H481" s="116">
        <v>8</v>
      </c>
      <c r="I481" s="117">
        <v>6693</v>
      </c>
      <c r="J481" s="117">
        <v>5815.6</v>
      </c>
      <c r="K481" s="321">
        <v>187</v>
      </c>
      <c r="L481" s="117">
        <f>'Приложение 2 КСП 2018-2019 гг'!G483</f>
        <v>5464426</v>
      </c>
      <c r="M481" s="253">
        <v>0</v>
      </c>
      <c r="N481" s="253">
        <v>0</v>
      </c>
      <c r="O481" s="253">
        <v>0</v>
      </c>
      <c r="P481" s="253">
        <f t="shared" si="90"/>
        <v>5464426</v>
      </c>
      <c r="Q481" s="253">
        <v>0</v>
      </c>
      <c r="R481" s="144">
        <v>0</v>
      </c>
      <c r="S481" s="46" t="s">
        <v>586</v>
      </c>
      <c r="T481" s="41"/>
      <c r="U481" s="42"/>
    </row>
    <row r="482" spans="1:21" ht="9" hidden="1" customHeight="1">
      <c r="A482" s="252">
        <v>124</v>
      </c>
      <c r="B482" s="112" t="s">
        <v>1052</v>
      </c>
      <c r="C482" s="211" t="s">
        <v>1126</v>
      </c>
      <c r="D482" s="113" t="s">
        <v>1124</v>
      </c>
      <c r="E482" s="114">
        <v>1973</v>
      </c>
      <c r="F482" s="115" t="s">
        <v>89</v>
      </c>
      <c r="G482" s="116">
        <v>5</v>
      </c>
      <c r="H482" s="116">
        <v>4</v>
      </c>
      <c r="I482" s="117">
        <v>3580.5</v>
      </c>
      <c r="J482" s="117">
        <v>3307.5</v>
      </c>
      <c r="K482" s="321">
        <v>138</v>
      </c>
      <c r="L482" s="117">
        <f>'Приложение 2 КСП 2018-2019 гг'!G484</f>
        <v>8883812.7100000009</v>
      </c>
      <c r="M482" s="253">
        <v>0</v>
      </c>
      <c r="N482" s="253">
        <v>0</v>
      </c>
      <c r="O482" s="253">
        <v>0</v>
      </c>
      <c r="P482" s="253">
        <f t="shared" si="90"/>
        <v>8883812.7100000009</v>
      </c>
      <c r="Q482" s="253">
        <v>0</v>
      </c>
      <c r="R482" s="144">
        <v>0</v>
      </c>
      <c r="S482" s="46" t="s">
        <v>586</v>
      </c>
      <c r="T482" s="41"/>
      <c r="U482" s="42"/>
    </row>
    <row r="483" spans="1:21" ht="9" hidden="1" customHeight="1">
      <c r="A483" s="252">
        <v>125</v>
      </c>
      <c r="B483" s="118" t="s">
        <v>1053</v>
      </c>
      <c r="C483" s="213" t="s">
        <v>1126</v>
      </c>
      <c r="D483" s="119" t="s">
        <v>1125</v>
      </c>
      <c r="E483" s="120">
        <v>1981</v>
      </c>
      <c r="F483" s="121" t="s">
        <v>87</v>
      </c>
      <c r="G483" s="122">
        <v>9</v>
      </c>
      <c r="H483" s="122">
        <v>3</v>
      </c>
      <c r="I483" s="123">
        <v>6705.9</v>
      </c>
      <c r="J483" s="123">
        <v>5511.9</v>
      </c>
      <c r="K483" s="322">
        <v>212</v>
      </c>
      <c r="L483" s="117">
        <f>'Приложение 2 КСП 2018-2019 гг'!G485</f>
        <v>5404414</v>
      </c>
      <c r="M483" s="253">
        <v>0</v>
      </c>
      <c r="N483" s="253">
        <v>0</v>
      </c>
      <c r="O483" s="253">
        <v>0</v>
      </c>
      <c r="P483" s="253">
        <f t="shared" si="90"/>
        <v>5404414</v>
      </c>
      <c r="Q483" s="253">
        <v>0</v>
      </c>
      <c r="R483" s="144">
        <v>0</v>
      </c>
      <c r="S483" s="46" t="s">
        <v>586</v>
      </c>
      <c r="T483" s="338" t="s">
        <v>1147</v>
      </c>
      <c r="U483" s="42"/>
    </row>
    <row r="484" spans="1:21" ht="9" hidden="1" customHeight="1">
      <c r="A484" s="252">
        <v>126</v>
      </c>
      <c r="B484" s="118" t="s">
        <v>1072</v>
      </c>
      <c r="C484" s="213" t="s">
        <v>1126</v>
      </c>
      <c r="D484" s="119" t="s">
        <v>1125</v>
      </c>
      <c r="E484" s="124">
        <v>1982</v>
      </c>
      <c r="F484" s="115" t="s">
        <v>89</v>
      </c>
      <c r="G484" s="121">
        <v>9</v>
      </c>
      <c r="H484" s="121">
        <v>4</v>
      </c>
      <c r="I484" s="123">
        <v>9070.4</v>
      </c>
      <c r="J484" s="123">
        <v>8181.4000000000005</v>
      </c>
      <c r="K484" s="322">
        <v>324</v>
      </c>
      <c r="L484" s="117">
        <f>'Приложение 2 КСП 2018-2019 гг'!G486</f>
        <v>7854387.2000000002</v>
      </c>
      <c r="M484" s="253">
        <v>0</v>
      </c>
      <c r="N484" s="253">
        <v>0</v>
      </c>
      <c r="O484" s="253">
        <v>0</v>
      </c>
      <c r="P484" s="253">
        <f t="shared" si="90"/>
        <v>7854387.2000000002</v>
      </c>
      <c r="Q484" s="253">
        <v>0</v>
      </c>
      <c r="R484" s="144">
        <v>0</v>
      </c>
      <c r="S484" s="46" t="s">
        <v>586</v>
      </c>
      <c r="T484" s="41"/>
      <c r="U484" s="42"/>
    </row>
    <row r="485" spans="1:21" ht="9" hidden="1" customHeight="1">
      <c r="A485" s="252">
        <v>127</v>
      </c>
      <c r="B485" s="118" t="s">
        <v>1073</v>
      </c>
      <c r="C485" s="213" t="s">
        <v>1126</v>
      </c>
      <c r="D485" s="119" t="s">
        <v>1125</v>
      </c>
      <c r="E485" s="124">
        <v>1988</v>
      </c>
      <c r="F485" s="115" t="s">
        <v>89</v>
      </c>
      <c r="G485" s="121">
        <v>9</v>
      </c>
      <c r="H485" s="121">
        <v>5</v>
      </c>
      <c r="I485" s="123">
        <v>10916.89</v>
      </c>
      <c r="J485" s="123">
        <v>9736.89</v>
      </c>
      <c r="K485" s="322">
        <v>395</v>
      </c>
      <c r="L485" s="117">
        <f>'Приложение 2 КСП 2018-2019 гг'!G487</f>
        <v>9817984</v>
      </c>
      <c r="M485" s="253">
        <v>0</v>
      </c>
      <c r="N485" s="253">
        <v>0</v>
      </c>
      <c r="O485" s="253">
        <v>0</v>
      </c>
      <c r="P485" s="253">
        <f t="shared" si="90"/>
        <v>9817984</v>
      </c>
      <c r="Q485" s="253">
        <v>0</v>
      </c>
      <c r="R485" s="144">
        <v>0</v>
      </c>
      <c r="S485" s="46" t="s">
        <v>586</v>
      </c>
      <c r="T485" s="41"/>
      <c r="U485" s="42"/>
    </row>
    <row r="486" spans="1:21" ht="9" hidden="1" customHeight="1">
      <c r="A486" s="252">
        <v>128</v>
      </c>
      <c r="B486" s="118" t="s">
        <v>1089</v>
      </c>
      <c r="C486" s="213" t="s">
        <v>1126</v>
      </c>
      <c r="D486" s="119" t="s">
        <v>1125</v>
      </c>
      <c r="E486" s="273" t="s">
        <v>1093</v>
      </c>
      <c r="F486" s="115" t="s">
        <v>87</v>
      </c>
      <c r="G486" s="121">
        <v>5</v>
      </c>
      <c r="H486" s="121">
        <v>14</v>
      </c>
      <c r="I486" s="123">
        <v>10341.299999999999</v>
      </c>
      <c r="J486" s="123">
        <v>9167.8000000000011</v>
      </c>
      <c r="K486" s="322">
        <v>482</v>
      </c>
      <c r="L486" s="117">
        <f>'Приложение 2 КСП 2018-2019 гг'!G488</f>
        <v>10322064</v>
      </c>
      <c r="M486" s="253">
        <v>0</v>
      </c>
      <c r="N486" s="253">
        <v>0</v>
      </c>
      <c r="O486" s="253">
        <v>0</v>
      </c>
      <c r="P486" s="253">
        <f t="shared" si="90"/>
        <v>10322064</v>
      </c>
      <c r="Q486" s="253">
        <v>0</v>
      </c>
      <c r="R486" s="256">
        <v>0</v>
      </c>
      <c r="S486" s="119" t="s">
        <v>586</v>
      </c>
      <c r="T486" s="41"/>
      <c r="U486" s="42"/>
    </row>
    <row r="487" spans="1:21" ht="9" hidden="1" customHeight="1">
      <c r="A487" s="252">
        <v>129</v>
      </c>
      <c r="B487" s="118" t="s">
        <v>1090</v>
      </c>
      <c r="C487" s="213" t="s">
        <v>1126</v>
      </c>
      <c r="D487" s="119" t="s">
        <v>1125</v>
      </c>
      <c r="E487" s="124">
        <v>1988</v>
      </c>
      <c r="F487" s="115" t="s">
        <v>89</v>
      </c>
      <c r="G487" s="121">
        <v>5</v>
      </c>
      <c r="H487" s="121">
        <v>6</v>
      </c>
      <c r="I487" s="123">
        <v>4570.7</v>
      </c>
      <c r="J487" s="123">
        <v>4199.2</v>
      </c>
      <c r="K487" s="322">
        <v>220</v>
      </c>
      <c r="L487" s="117">
        <f>'Приложение 2 КСП 2018-2019 гг'!G489</f>
        <v>4037474</v>
      </c>
      <c r="M487" s="253">
        <v>0</v>
      </c>
      <c r="N487" s="253">
        <v>0</v>
      </c>
      <c r="O487" s="253">
        <v>0</v>
      </c>
      <c r="P487" s="253">
        <f t="shared" si="90"/>
        <v>4037474</v>
      </c>
      <c r="Q487" s="253">
        <v>0</v>
      </c>
      <c r="R487" s="256">
        <v>0</v>
      </c>
      <c r="S487" s="119" t="s">
        <v>586</v>
      </c>
      <c r="T487" s="41"/>
      <c r="U487" s="42"/>
    </row>
    <row r="488" spans="1:21" ht="9" hidden="1" customHeight="1">
      <c r="A488" s="252">
        <v>130</v>
      </c>
      <c r="B488" s="118" t="s">
        <v>1091</v>
      </c>
      <c r="C488" s="213" t="s">
        <v>1126</v>
      </c>
      <c r="D488" s="119" t="s">
        <v>1125</v>
      </c>
      <c r="E488" s="124">
        <v>1975</v>
      </c>
      <c r="F488" s="115" t="s">
        <v>89</v>
      </c>
      <c r="G488" s="261">
        <v>5</v>
      </c>
      <c r="H488" s="261">
        <v>3</v>
      </c>
      <c r="I488" s="123">
        <v>3914.7</v>
      </c>
      <c r="J488" s="123">
        <v>2812.7</v>
      </c>
      <c r="K488" s="322">
        <v>164</v>
      </c>
      <c r="L488" s="117">
        <f>'Приложение 2 КСП 2018-2019 гг'!G490</f>
        <v>2440488</v>
      </c>
      <c r="M488" s="253">
        <v>0</v>
      </c>
      <c r="N488" s="253">
        <v>0</v>
      </c>
      <c r="O488" s="253">
        <v>0</v>
      </c>
      <c r="P488" s="253">
        <f t="shared" ref="P488:P489" si="91">L488</f>
        <v>2440488</v>
      </c>
      <c r="Q488" s="253">
        <v>0</v>
      </c>
      <c r="R488" s="256">
        <v>0</v>
      </c>
      <c r="S488" s="119" t="s">
        <v>586</v>
      </c>
      <c r="T488" s="41"/>
      <c r="U488" s="42"/>
    </row>
    <row r="489" spans="1:21" ht="9" hidden="1" customHeight="1">
      <c r="A489" s="252">
        <v>131</v>
      </c>
      <c r="B489" s="118" t="s">
        <v>1092</v>
      </c>
      <c r="C489" s="213" t="s">
        <v>1126</v>
      </c>
      <c r="D489" s="119" t="s">
        <v>1125</v>
      </c>
      <c r="E489" s="124">
        <v>1962</v>
      </c>
      <c r="F489" s="115" t="s">
        <v>1094</v>
      </c>
      <c r="G489" s="121">
        <v>5</v>
      </c>
      <c r="H489" s="121">
        <v>4</v>
      </c>
      <c r="I489" s="123">
        <v>3438.5</v>
      </c>
      <c r="J489" s="123">
        <v>3204.7</v>
      </c>
      <c r="K489" s="322">
        <v>135</v>
      </c>
      <c r="L489" s="117">
        <f>'Приложение 2 КСП 2018-2019 гг'!G491</f>
        <v>3654420</v>
      </c>
      <c r="M489" s="253">
        <v>0</v>
      </c>
      <c r="N489" s="253">
        <v>0</v>
      </c>
      <c r="O489" s="253">
        <v>0</v>
      </c>
      <c r="P489" s="253">
        <f t="shared" si="91"/>
        <v>3654420</v>
      </c>
      <c r="Q489" s="253">
        <v>0</v>
      </c>
      <c r="R489" s="256">
        <v>0</v>
      </c>
      <c r="S489" s="119" t="s">
        <v>586</v>
      </c>
      <c r="T489" s="41"/>
      <c r="U489" s="42"/>
    </row>
    <row r="490" spans="1:21" ht="9" hidden="1" customHeight="1">
      <c r="A490" s="252">
        <v>132</v>
      </c>
      <c r="B490" s="118" t="s">
        <v>1131</v>
      </c>
      <c r="C490" s="213" t="s">
        <v>1127</v>
      </c>
      <c r="D490" s="119" t="s">
        <v>1125</v>
      </c>
      <c r="E490" s="124">
        <v>1955</v>
      </c>
      <c r="F490" s="115" t="s">
        <v>87</v>
      </c>
      <c r="G490" s="121">
        <v>4</v>
      </c>
      <c r="H490" s="121">
        <v>4</v>
      </c>
      <c r="I490" s="123">
        <v>4974.1000000000004</v>
      </c>
      <c r="J490" s="123">
        <v>4613.3</v>
      </c>
      <c r="K490" s="322">
        <v>101</v>
      </c>
      <c r="L490" s="117">
        <f>'Приложение 2 КСП 2018-2019 гг'!G492</f>
        <v>5271419.9999999991</v>
      </c>
      <c r="M490" s="253">
        <v>0</v>
      </c>
      <c r="N490" s="253">
        <v>0</v>
      </c>
      <c r="O490" s="253">
        <v>0</v>
      </c>
      <c r="P490" s="253">
        <f>L490</f>
        <v>5271419.9999999991</v>
      </c>
      <c r="Q490" s="253">
        <v>0</v>
      </c>
      <c r="R490" s="256">
        <v>0</v>
      </c>
      <c r="S490" s="119" t="s">
        <v>586</v>
      </c>
      <c r="T490" s="41"/>
      <c r="U490" s="42"/>
    </row>
    <row r="491" spans="1:21" ht="9" hidden="1" customHeight="1">
      <c r="A491" s="339">
        <v>133</v>
      </c>
      <c r="B491" s="118" t="s">
        <v>1154</v>
      </c>
      <c r="C491" s="213" t="s">
        <v>1126</v>
      </c>
      <c r="D491" s="119" t="s">
        <v>1125</v>
      </c>
      <c r="E491" s="124">
        <v>1976</v>
      </c>
      <c r="F491" s="115" t="s">
        <v>208</v>
      </c>
      <c r="G491" s="121">
        <v>5</v>
      </c>
      <c r="H491" s="121">
        <v>4</v>
      </c>
      <c r="I491" s="123">
        <v>3578.1</v>
      </c>
      <c r="J491" s="123">
        <f>3200.3+106.8</f>
        <v>3307.1000000000004</v>
      </c>
      <c r="K491" s="322">
        <v>165</v>
      </c>
      <c r="L491" s="117">
        <f>'Приложение 2 КСП 2018-2019 гг'!G493</f>
        <v>2773888</v>
      </c>
      <c r="M491" s="340">
        <v>0</v>
      </c>
      <c r="N491" s="340">
        <v>0</v>
      </c>
      <c r="O491" s="340">
        <v>0</v>
      </c>
      <c r="P491" s="340">
        <f>L491</f>
        <v>2773888</v>
      </c>
      <c r="Q491" s="340">
        <v>0</v>
      </c>
      <c r="R491" s="256">
        <v>0</v>
      </c>
      <c r="S491" s="119" t="s">
        <v>586</v>
      </c>
      <c r="T491" s="41"/>
      <c r="U491" s="42"/>
    </row>
    <row r="492" spans="1:21" ht="23.25" hidden="1" customHeight="1">
      <c r="A492" s="599" t="s">
        <v>107</v>
      </c>
      <c r="B492" s="599"/>
      <c r="C492" s="46"/>
      <c r="D492" s="142"/>
      <c r="E492" s="145" t="s">
        <v>387</v>
      </c>
      <c r="F492" s="145" t="s">
        <v>387</v>
      </c>
      <c r="G492" s="145" t="s">
        <v>387</v>
      </c>
      <c r="H492" s="145" t="s">
        <v>387</v>
      </c>
      <c r="I492" s="253">
        <f t="shared" ref="I492:R492" si="92">SUM(I359:I491)</f>
        <v>599669.36999999988</v>
      </c>
      <c r="J492" s="340">
        <f t="shared" si="92"/>
        <v>514117.82999999996</v>
      </c>
      <c r="K492" s="45">
        <f t="shared" si="92"/>
        <v>22792</v>
      </c>
      <c r="L492" s="253">
        <f t="shared" si="92"/>
        <v>523534984.18999994</v>
      </c>
      <c r="M492" s="253">
        <f t="shared" si="92"/>
        <v>0</v>
      </c>
      <c r="N492" s="340">
        <f t="shared" si="92"/>
        <v>0</v>
      </c>
      <c r="O492" s="340">
        <f t="shared" si="92"/>
        <v>0</v>
      </c>
      <c r="P492" s="253">
        <f t="shared" si="92"/>
        <v>523534984.18999994</v>
      </c>
      <c r="Q492" s="253">
        <f t="shared" si="92"/>
        <v>0</v>
      </c>
      <c r="R492" s="253">
        <f t="shared" si="92"/>
        <v>0</v>
      </c>
      <c r="S492" s="144"/>
      <c r="T492" s="160"/>
      <c r="U492" s="42"/>
    </row>
    <row r="493" spans="1:21" ht="9" hidden="1" customHeight="1">
      <c r="A493" s="502" t="s">
        <v>219</v>
      </c>
      <c r="B493" s="502"/>
      <c r="C493" s="502"/>
      <c r="D493" s="502"/>
      <c r="E493" s="502"/>
      <c r="F493" s="502"/>
      <c r="G493" s="502"/>
      <c r="H493" s="502"/>
      <c r="I493" s="502"/>
      <c r="J493" s="502"/>
      <c r="K493" s="502"/>
      <c r="L493" s="502"/>
      <c r="M493" s="502"/>
      <c r="N493" s="502"/>
      <c r="O493" s="502"/>
      <c r="P493" s="502"/>
      <c r="Q493" s="502"/>
      <c r="R493" s="502"/>
      <c r="S493" s="502"/>
      <c r="T493" s="162"/>
      <c r="U493" s="162"/>
    </row>
    <row r="494" spans="1:21" ht="9" hidden="1" customHeight="1">
      <c r="A494" s="145">
        <v>134</v>
      </c>
      <c r="B494" s="205" t="s">
        <v>751</v>
      </c>
      <c r="C494" s="213" t="s">
        <v>1126</v>
      </c>
      <c r="D494" s="119" t="s">
        <v>1125</v>
      </c>
      <c r="E494" s="206">
        <v>1965</v>
      </c>
      <c r="F494" s="207" t="s">
        <v>87</v>
      </c>
      <c r="G494" s="208">
        <v>3</v>
      </c>
      <c r="H494" s="208">
        <v>2</v>
      </c>
      <c r="I494" s="209">
        <v>1051.7</v>
      </c>
      <c r="J494" s="209">
        <v>977.9</v>
      </c>
      <c r="K494" s="207">
        <v>39</v>
      </c>
      <c r="L494" s="117">
        <f>'Приложение 2 КСП 2018-2019 гг'!G496</f>
        <v>1911940.8</v>
      </c>
      <c r="M494" s="253">
        <v>0</v>
      </c>
      <c r="N494" s="253">
        <v>0</v>
      </c>
      <c r="O494" s="253">
        <v>0</v>
      </c>
      <c r="P494" s="253">
        <f t="shared" ref="P494" si="93">L494</f>
        <v>1911940.8</v>
      </c>
      <c r="Q494" s="253">
        <v>0</v>
      </c>
      <c r="R494" s="256">
        <v>0</v>
      </c>
      <c r="S494" s="46" t="s">
        <v>586</v>
      </c>
      <c r="T494" s="41"/>
      <c r="U494" s="42"/>
    </row>
    <row r="495" spans="1:21" ht="9" hidden="1" customHeight="1">
      <c r="A495" s="145">
        <v>135</v>
      </c>
      <c r="B495" s="205" t="s">
        <v>752</v>
      </c>
      <c r="C495" s="211" t="s">
        <v>1126</v>
      </c>
      <c r="D495" s="119" t="s">
        <v>1125</v>
      </c>
      <c r="E495" s="206" t="s">
        <v>742</v>
      </c>
      <c r="F495" s="207" t="s">
        <v>87</v>
      </c>
      <c r="G495" s="208">
        <v>5</v>
      </c>
      <c r="H495" s="208">
        <v>4</v>
      </c>
      <c r="I495" s="209">
        <v>3101.9</v>
      </c>
      <c r="J495" s="209">
        <v>2743.8</v>
      </c>
      <c r="K495" s="208">
        <v>151</v>
      </c>
      <c r="L495" s="117">
        <f>'Приложение 2 КСП 2018-2019 гг'!G497</f>
        <v>3638727.6</v>
      </c>
      <c r="M495" s="253">
        <v>0</v>
      </c>
      <c r="N495" s="253">
        <v>0</v>
      </c>
      <c r="O495" s="253">
        <v>0</v>
      </c>
      <c r="P495" s="253">
        <f t="shared" ref="P495:P500" si="94">L495</f>
        <v>3638727.6</v>
      </c>
      <c r="Q495" s="253">
        <v>0</v>
      </c>
      <c r="R495" s="256">
        <v>0</v>
      </c>
      <c r="S495" s="46" t="s">
        <v>586</v>
      </c>
      <c r="T495" s="41"/>
      <c r="U495" s="42"/>
    </row>
    <row r="496" spans="1:21" ht="9" hidden="1" customHeight="1">
      <c r="A496" s="339">
        <v>136</v>
      </c>
      <c r="B496" s="205" t="s">
        <v>753</v>
      </c>
      <c r="C496" s="211" t="s">
        <v>1126</v>
      </c>
      <c r="D496" s="119" t="s">
        <v>1125</v>
      </c>
      <c r="E496" s="206" t="s">
        <v>604</v>
      </c>
      <c r="F496" s="207" t="s">
        <v>87</v>
      </c>
      <c r="G496" s="208">
        <v>5</v>
      </c>
      <c r="H496" s="208">
        <v>9</v>
      </c>
      <c r="I496" s="209">
        <v>6617.5</v>
      </c>
      <c r="J496" s="209">
        <v>5959.5</v>
      </c>
      <c r="K496" s="208">
        <v>271</v>
      </c>
      <c r="L496" s="117">
        <f>'Приложение 2 КСП 2018-2019 гг'!G498</f>
        <v>6041208</v>
      </c>
      <c r="M496" s="253">
        <v>0</v>
      </c>
      <c r="N496" s="253">
        <v>0</v>
      </c>
      <c r="O496" s="253">
        <v>0</v>
      </c>
      <c r="P496" s="253">
        <f t="shared" si="94"/>
        <v>6041208</v>
      </c>
      <c r="Q496" s="253">
        <v>0</v>
      </c>
      <c r="R496" s="256">
        <v>0</v>
      </c>
      <c r="S496" s="46" t="s">
        <v>586</v>
      </c>
      <c r="T496" s="41"/>
      <c r="U496" s="42"/>
    </row>
    <row r="497" spans="1:21" ht="9" hidden="1" customHeight="1">
      <c r="A497" s="339">
        <v>137</v>
      </c>
      <c r="B497" s="205" t="s">
        <v>754</v>
      </c>
      <c r="C497" s="213" t="s">
        <v>1126</v>
      </c>
      <c r="D497" s="119" t="s">
        <v>1125</v>
      </c>
      <c r="E497" s="206" t="s">
        <v>296</v>
      </c>
      <c r="F497" s="207" t="s">
        <v>87</v>
      </c>
      <c r="G497" s="208">
        <v>5</v>
      </c>
      <c r="H497" s="208">
        <v>8</v>
      </c>
      <c r="I497" s="209">
        <v>5815.1</v>
      </c>
      <c r="J497" s="209">
        <v>5145.8</v>
      </c>
      <c r="K497" s="208">
        <v>226</v>
      </c>
      <c r="L497" s="117">
        <f>'Приложение 2 КСП 2018-2019 гг'!G499</f>
        <v>4940988</v>
      </c>
      <c r="M497" s="253">
        <v>0</v>
      </c>
      <c r="N497" s="253">
        <v>0</v>
      </c>
      <c r="O497" s="253">
        <v>0</v>
      </c>
      <c r="P497" s="253">
        <f t="shared" si="94"/>
        <v>4940988</v>
      </c>
      <c r="Q497" s="253">
        <v>0</v>
      </c>
      <c r="R497" s="256">
        <v>0</v>
      </c>
      <c r="S497" s="46" t="s">
        <v>586</v>
      </c>
      <c r="T497" s="41"/>
      <c r="U497" s="42"/>
    </row>
    <row r="498" spans="1:21" ht="9" hidden="1" customHeight="1">
      <c r="A498" s="339">
        <v>138</v>
      </c>
      <c r="B498" s="205" t="s">
        <v>755</v>
      </c>
      <c r="C498" s="213" t="s">
        <v>1126</v>
      </c>
      <c r="D498" s="119" t="s">
        <v>1125</v>
      </c>
      <c r="E498" s="206" t="s">
        <v>105</v>
      </c>
      <c r="F498" s="207" t="s">
        <v>87</v>
      </c>
      <c r="G498" s="208">
        <v>3</v>
      </c>
      <c r="H498" s="208">
        <v>3</v>
      </c>
      <c r="I498" s="209">
        <v>1675.8</v>
      </c>
      <c r="J498" s="209">
        <v>1529.4</v>
      </c>
      <c r="K498" s="208">
        <v>81</v>
      </c>
      <c r="L498" s="117">
        <f>'Приложение 2 КСП 2018-2019 гг'!G500</f>
        <v>3069066</v>
      </c>
      <c r="M498" s="253">
        <v>0</v>
      </c>
      <c r="N498" s="253">
        <v>0</v>
      </c>
      <c r="O498" s="253">
        <v>0</v>
      </c>
      <c r="P498" s="253">
        <f t="shared" si="94"/>
        <v>3069066</v>
      </c>
      <c r="Q498" s="253">
        <v>0</v>
      </c>
      <c r="R498" s="256">
        <v>0</v>
      </c>
      <c r="S498" s="46" t="s">
        <v>586</v>
      </c>
      <c r="T498" s="41"/>
      <c r="U498" s="42"/>
    </row>
    <row r="499" spans="1:21" ht="9" hidden="1" customHeight="1">
      <c r="A499" s="339">
        <v>139</v>
      </c>
      <c r="B499" s="205" t="s">
        <v>756</v>
      </c>
      <c r="C499" s="213" t="s">
        <v>1126</v>
      </c>
      <c r="D499" s="119" t="s">
        <v>1125</v>
      </c>
      <c r="E499" s="206" t="s">
        <v>744</v>
      </c>
      <c r="F499" s="207" t="s">
        <v>87</v>
      </c>
      <c r="G499" s="208">
        <v>3</v>
      </c>
      <c r="H499" s="208">
        <v>3</v>
      </c>
      <c r="I499" s="209">
        <v>1646</v>
      </c>
      <c r="J499" s="209">
        <v>1518.2</v>
      </c>
      <c r="K499" s="208">
        <v>67</v>
      </c>
      <c r="L499" s="117">
        <f>'Приложение 2 КСП 2018-2019 гг'!G501</f>
        <v>3069066</v>
      </c>
      <c r="M499" s="253">
        <v>0</v>
      </c>
      <c r="N499" s="253">
        <v>0</v>
      </c>
      <c r="O499" s="253">
        <v>0</v>
      </c>
      <c r="P499" s="253">
        <f t="shared" si="94"/>
        <v>3069066</v>
      </c>
      <c r="Q499" s="253">
        <v>0</v>
      </c>
      <c r="R499" s="256">
        <v>0</v>
      </c>
      <c r="S499" s="46" t="s">
        <v>586</v>
      </c>
      <c r="T499" s="41"/>
      <c r="U499" s="42"/>
    </row>
    <row r="500" spans="1:21" ht="9" hidden="1" customHeight="1">
      <c r="A500" s="339">
        <v>140</v>
      </c>
      <c r="B500" s="205" t="s">
        <v>757</v>
      </c>
      <c r="C500" s="219" t="s">
        <v>1126</v>
      </c>
      <c r="D500" s="119" t="s">
        <v>1125</v>
      </c>
      <c r="E500" s="206" t="s">
        <v>741</v>
      </c>
      <c r="F500" s="207" t="s">
        <v>87</v>
      </c>
      <c r="G500" s="208">
        <v>4</v>
      </c>
      <c r="H500" s="208">
        <v>1</v>
      </c>
      <c r="I500" s="209">
        <v>2764.4</v>
      </c>
      <c r="J500" s="209">
        <v>1790.8</v>
      </c>
      <c r="K500" s="208">
        <v>159</v>
      </c>
      <c r="L500" s="117">
        <f>'Приложение 2 КСП 2018-2019 гг'!G502</f>
        <v>3654420</v>
      </c>
      <c r="M500" s="253">
        <v>0</v>
      </c>
      <c r="N500" s="253">
        <v>0</v>
      </c>
      <c r="O500" s="253">
        <v>0</v>
      </c>
      <c r="P500" s="253">
        <f t="shared" si="94"/>
        <v>3654420</v>
      </c>
      <c r="Q500" s="253">
        <v>0</v>
      </c>
      <c r="R500" s="256">
        <v>0</v>
      </c>
      <c r="S500" s="46" t="s">
        <v>586</v>
      </c>
      <c r="T500" s="41"/>
      <c r="U500" s="42"/>
    </row>
    <row r="501" spans="1:21" ht="24.75" hidden="1" customHeight="1">
      <c r="A501" s="599" t="s">
        <v>220</v>
      </c>
      <c r="B501" s="599"/>
      <c r="C501" s="46"/>
      <c r="D501" s="142"/>
      <c r="E501" s="54" t="s">
        <v>387</v>
      </c>
      <c r="F501" s="54" t="s">
        <v>387</v>
      </c>
      <c r="G501" s="54" t="s">
        <v>387</v>
      </c>
      <c r="H501" s="54" t="s">
        <v>387</v>
      </c>
      <c r="I501" s="225">
        <f>SUM(I494:I500)</f>
        <v>22672.400000000001</v>
      </c>
      <c r="J501" s="225">
        <f t="shared" ref="J501:R501" si="95">SUM(J494:J500)</f>
        <v>19665.399999999998</v>
      </c>
      <c r="K501" s="47">
        <f t="shared" si="95"/>
        <v>994</v>
      </c>
      <c r="L501" s="225">
        <f t="shared" si="95"/>
        <v>26325416.399999999</v>
      </c>
      <c r="M501" s="225">
        <f t="shared" si="95"/>
        <v>0</v>
      </c>
      <c r="N501" s="225">
        <f t="shared" si="95"/>
        <v>0</v>
      </c>
      <c r="O501" s="225">
        <f t="shared" si="95"/>
        <v>0</v>
      </c>
      <c r="P501" s="225">
        <f t="shared" si="95"/>
        <v>26325416.399999999</v>
      </c>
      <c r="Q501" s="225">
        <f t="shared" si="95"/>
        <v>0</v>
      </c>
      <c r="R501" s="225">
        <f t="shared" si="95"/>
        <v>0</v>
      </c>
      <c r="S501" s="144"/>
      <c r="T501" s="41"/>
      <c r="U501" s="42"/>
    </row>
    <row r="502" spans="1:21" ht="9" hidden="1" customHeight="1">
      <c r="A502" s="502" t="s">
        <v>229</v>
      </c>
      <c r="B502" s="502"/>
      <c r="C502" s="502"/>
      <c r="D502" s="502"/>
      <c r="E502" s="502"/>
      <c r="F502" s="502"/>
      <c r="G502" s="502"/>
      <c r="H502" s="502"/>
      <c r="I502" s="502"/>
      <c r="J502" s="502"/>
      <c r="K502" s="502"/>
      <c r="L502" s="502"/>
      <c r="M502" s="502"/>
      <c r="N502" s="502"/>
      <c r="O502" s="502"/>
      <c r="P502" s="502"/>
      <c r="Q502" s="502"/>
      <c r="R502" s="502"/>
      <c r="S502" s="502"/>
      <c r="T502" s="162"/>
      <c r="U502" s="162"/>
    </row>
    <row r="503" spans="1:21" ht="9" hidden="1" customHeight="1">
      <c r="A503" s="145">
        <v>141</v>
      </c>
      <c r="B503" s="193" t="s">
        <v>773</v>
      </c>
      <c r="C503" s="213" t="s">
        <v>1126</v>
      </c>
      <c r="D503" s="119" t="s">
        <v>1125</v>
      </c>
      <c r="E503" s="194" t="s">
        <v>614</v>
      </c>
      <c r="F503" s="195" t="s">
        <v>89</v>
      </c>
      <c r="G503" s="196">
        <v>5</v>
      </c>
      <c r="H503" s="196">
        <v>6</v>
      </c>
      <c r="I503" s="197">
        <v>4499.6000000000004</v>
      </c>
      <c r="J503" s="197">
        <v>4065.4</v>
      </c>
      <c r="K503" s="196">
        <v>40</v>
      </c>
      <c r="L503" s="117">
        <f>'Приложение 2 КСП 2018-2019 гг'!G505</f>
        <v>3990798</v>
      </c>
      <c r="M503" s="253">
        <v>0</v>
      </c>
      <c r="N503" s="253">
        <v>0</v>
      </c>
      <c r="O503" s="253">
        <v>0</v>
      </c>
      <c r="P503" s="253">
        <f t="shared" ref="P503" si="96">L503</f>
        <v>3990798</v>
      </c>
      <c r="Q503" s="253">
        <v>0</v>
      </c>
      <c r="R503" s="144">
        <v>0</v>
      </c>
      <c r="S503" s="46" t="s">
        <v>586</v>
      </c>
      <c r="T503" s="41"/>
      <c r="U503" s="42"/>
    </row>
    <row r="504" spans="1:21" ht="9" hidden="1" customHeight="1">
      <c r="A504" s="145">
        <v>142</v>
      </c>
      <c r="B504" s="193" t="s">
        <v>774</v>
      </c>
      <c r="C504" s="211" t="s">
        <v>1126</v>
      </c>
      <c r="D504" s="119" t="s">
        <v>1125</v>
      </c>
      <c r="E504" s="194" t="s">
        <v>589</v>
      </c>
      <c r="F504" s="195" t="s">
        <v>87</v>
      </c>
      <c r="G504" s="196">
        <v>3</v>
      </c>
      <c r="H504" s="196">
        <v>3</v>
      </c>
      <c r="I504" s="197">
        <v>1692.6</v>
      </c>
      <c r="J504" s="197">
        <v>1546</v>
      </c>
      <c r="K504" s="196">
        <v>51</v>
      </c>
      <c r="L504" s="117">
        <f>'Приложение 2 КСП 2018-2019 гг'!G506</f>
        <v>2683870</v>
      </c>
      <c r="M504" s="253">
        <v>0</v>
      </c>
      <c r="N504" s="253">
        <v>0</v>
      </c>
      <c r="O504" s="253">
        <v>0</v>
      </c>
      <c r="P504" s="253">
        <f t="shared" ref="P504:P514" si="97">L504</f>
        <v>2683870</v>
      </c>
      <c r="Q504" s="253">
        <v>0</v>
      </c>
      <c r="R504" s="144">
        <v>0</v>
      </c>
      <c r="S504" s="46" t="s">
        <v>586</v>
      </c>
      <c r="T504" s="41"/>
      <c r="U504" s="42"/>
    </row>
    <row r="505" spans="1:21" ht="9" hidden="1" customHeight="1">
      <c r="A505" s="339">
        <v>143</v>
      </c>
      <c r="B505" s="193" t="s">
        <v>775</v>
      </c>
      <c r="C505" s="211" t="s">
        <v>1126</v>
      </c>
      <c r="D505" s="119" t="s">
        <v>1125</v>
      </c>
      <c r="E505" s="194" t="s">
        <v>601</v>
      </c>
      <c r="F505" s="195" t="s">
        <v>87</v>
      </c>
      <c r="G505" s="196">
        <v>5</v>
      </c>
      <c r="H505" s="196">
        <v>10</v>
      </c>
      <c r="I505" s="197">
        <v>7131.7</v>
      </c>
      <c r="J505" s="197">
        <v>6406.5</v>
      </c>
      <c r="K505" s="196">
        <v>31</v>
      </c>
      <c r="L505" s="117">
        <f>'Приложение 2 КСП 2018-2019 гг'!G507</f>
        <v>6688004</v>
      </c>
      <c r="M505" s="253">
        <v>0</v>
      </c>
      <c r="N505" s="253">
        <v>0</v>
      </c>
      <c r="O505" s="253">
        <v>0</v>
      </c>
      <c r="P505" s="253">
        <f t="shared" si="97"/>
        <v>6688004</v>
      </c>
      <c r="Q505" s="253">
        <v>0</v>
      </c>
      <c r="R505" s="144">
        <v>0</v>
      </c>
      <c r="S505" s="46" t="s">
        <v>586</v>
      </c>
      <c r="T505" s="41"/>
      <c r="U505" s="42"/>
    </row>
    <row r="506" spans="1:21" ht="9" hidden="1" customHeight="1">
      <c r="A506" s="339">
        <v>144</v>
      </c>
      <c r="B506" s="193" t="s">
        <v>776</v>
      </c>
      <c r="C506" s="213" t="s">
        <v>1126</v>
      </c>
      <c r="D506" s="119" t="s">
        <v>1125</v>
      </c>
      <c r="E506" s="194" t="s">
        <v>614</v>
      </c>
      <c r="F506" s="195" t="s">
        <v>89</v>
      </c>
      <c r="G506" s="196">
        <v>5</v>
      </c>
      <c r="H506" s="196">
        <v>6</v>
      </c>
      <c r="I506" s="197">
        <v>4069.5</v>
      </c>
      <c r="J506" s="197">
        <v>4277</v>
      </c>
      <c r="K506" s="196">
        <v>216</v>
      </c>
      <c r="L506" s="117">
        <f>'Приложение 2 КСП 2018-2019 гг'!G508</f>
        <v>4044142</v>
      </c>
      <c r="M506" s="253">
        <v>0</v>
      </c>
      <c r="N506" s="253">
        <v>0</v>
      </c>
      <c r="O506" s="253">
        <v>0</v>
      </c>
      <c r="P506" s="253">
        <f t="shared" si="97"/>
        <v>4044142</v>
      </c>
      <c r="Q506" s="253">
        <v>0</v>
      </c>
      <c r="R506" s="144">
        <v>0</v>
      </c>
      <c r="S506" s="46" t="s">
        <v>586</v>
      </c>
      <c r="T506" s="41"/>
      <c r="U506" s="42"/>
    </row>
    <row r="507" spans="1:21" ht="9" hidden="1" customHeight="1">
      <c r="A507" s="339">
        <v>145</v>
      </c>
      <c r="B507" s="193" t="s">
        <v>777</v>
      </c>
      <c r="C507" s="213" t="s">
        <v>1126</v>
      </c>
      <c r="D507" s="119" t="s">
        <v>1125</v>
      </c>
      <c r="E507" s="194" t="s">
        <v>610</v>
      </c>
      <c r="F507" s="195" t="s">
        <v>87</v>
      </c>
      <c r="G507" s="196">
        <v>5</v>
      </c>
      <c r="H507" s="196">
        <v>4</v>
      </c>
      <c r="I507" s="197">
        <v>2914.4</v>
      </c>
      <c r="J507" s="197">
        <v>2490.1</v>
      </c>
      <c r="K507" s="196">
        <v>108</v>
      </c>
      <c r="L507" s="117">
        <f>'Приложение 2 КСП 2018-2019 гг'!G509</f>
        <v>2737214</v>
      </c>
      <c r="M507" s="253">
        <v>0</v>
      </c>
      <c r="N507" s="253">
        <v>0</v>
      </c>
      <c r="O507" s="253">
        <v>0</v>
      </c>
      <c r="P507" s="253">
        <f t="shared" si="97"/>
        <v>2737214</v>
      </c>
      <c r="Q507" s="253">
        <v>0</v>
      </c>
      <c r="R507" s="144">
        <v>0</v>
      </c>
      <c r="S507" s="46" t="s">
        <v>586</v>
      </c>
      <c r="T507" s="41"/>
      <c r="U507" s="42"/>
    </row>
    <row r="508" spans="1:21" ht="9" hidden="1" customHeight="1">
      <c r="A508" s="339">
        <v>146</v>
      </c>
      <c r="B508" s="193" t="s">
        <v>778</v>
      </c>
      <c r="C508" s="213" t="s">
        <v>1126</v>
      </c>
      <c r="D508" s="119" t="s">
        <v>1125</v>
      </c>
      <c r="E508" s="194" t="s">
        <v>601</v>
      </c>
      <c r="F508" s="195" t="s">
        <v>89</v>
      </c>
      <c r="G508" s="196">
        <v>5</v>
      </c>
      <c r="H508" s="196">
        <v>7</v>
      </c>
      <c r="I508" s="197">
        <v>6039.6</v>
      </c>
      <c r="J508" s="197">
        <v>5272</v>
      </c>
      <c r="K508" s="196">
        <v>40</v>
      </c>
      <c r="L508" s="117">
        <f>'Приложение 2 КСП 2018-2019 гг'!G510</f>
        <v>5241048</v>
      </c>
      <c r="M508" s="253">
        <v>0</v>
      </c>
      <c r="N508" s="253">
        <v>0</v>
      </c>
      <c r="O508" s="253">
        <v>0</v>
      </c>
      <c r="P508" s="253">
        <f t="shared" si="97"/>
        <v>5241048</v>
      </c>
      <c r="Q508" s="253">
        <v>0</v>
      </c>
      <c r="R508" s="144">
        <v>0</v>
      </c>
      <c r="S508" s="46" t="s">
        <v>586</v>
      </c>
      <c r="T508" s="41"/>
      <c r="U508" s="42"/>
    </row>
    <row r="509" spans="1:21" ht="9" hidden="1" customHeight="1">
      <c r="A509" s="339">
        <v>147</v>
      </c>
      <c r="B509" s="193" t="s">
        <v>779</v>
      </c>
      <c r="C509" s="219" t="s">
        <v>1126</v>
      </c>
      <c r="D509" s="119" t="s">
        <v>1125</v>
      </c>
      <c r="E509" s="194" t="s">
        <v>596</v>
      </c>
      <c r="F509" s="195" t="s">
        <v>87</v>
      </c>
      <c r="G509" s="196">
        <v>2</v>
      </c>
      <c r="H509" s="196">
        <v>3</v>
      </c>
      <c r="I509" s="197">
        <v>945.1</v>
      </c>
      <c r="J509" s="197">
        <v>858.2</v>
      </c>
      <c r="K509" s="196">
        <v>118</v>
      </c>
      <c r="L509" s="117">
        <f>'Приложение 2 КСП 2018-2019 гг'!G511</f>
        <v>2213776</v>
      </c>
      <c r="M509" s="253">
        <v>0</v>
      </c>
      <c r="N509" s="253">
        <v>0</v>
      </c>
      <c r="O509" s="253">
        <v>0</v>
      </c>
      <c r="P509" s="253">
        <f t="shared" si="97"/>
        <v>2213776</v>
      </c>
      <c r="Q509" s="253">
        <v>0</v>
      </c>
      <c r="R509" s="144">
        <v>0</v>
      </c>
      <c r="S509" s="46" t="s">
        <v>586</v>
      </c>
      <c r="T509" s="41"/>
      <c r="U509" s="42"/>
    </row>
    <row r="510" spans="1:21" ht="9" hidden="1" customHeight="1">
      <c r="A510" s="339">
        <v>148</v>
      </c>
      <c r="B510" s="193" t="s">
        <v>780</v>
      </c>
      <c r="C510" s="213" t="s">
        <v>1126</v>
      </c>
      <c r="D510" s="119" t="s">
        <v>1125</v>
      </c>
      <c r="E510" s="194" t="s">
        <v>590</v>
      </c>
      <c r="F510" s="195" t="s">
        <v>87</v>
      </c>
      <c r="G510" s="196">
        <v>3</v>
      </c>
      <c r="H510" s="196">
        <v>3</v>
      </c>
      <c r="I510" s="197">
        <v>1982.1</v>
      </c>
      <c r="J510" s="197">
        <v>1831.8</v>
      </c>
      <c r="K510" s="196">
        <v>22</v>
      </c>
      <c r="L510" s="117">
        <f>'Приложение 2 КСП 2018-2019 гг'!G512</f>
        <v>2193772</v>
      </c>
      <c r="M510" s="253">
        <v>0</v>
      </c>
      <c r="N510" s="253">
        <v>0</v>
      </c>
      <c r="O510" s="253">
        <v>0</v>
      </c>
      <c r="P510" s="253">
        <f t="shared" si="97"/>
        <v>2193772</v>
      </c>
      <c r="Q510" s="253">
        <v>0</v>
      </c>
      <c r="R510" s="144">
        <v>0</v>
      </c>
      <c r="S510" s="46" t="s">
        <v>586</v>
      </c>
      <c r="T510" s="41"/>
      <c r="U510" s="42"/>
    </row>
    <row r="511" spans="1:21" ht="9" hidden="1" customHeight="1">
      <c r="A511" s="339">
        <v>149</v>
      </c>
      <c r="B511" s="193" t="s">
        <v>781</v>
      </c>
      <c r="C511" s="211" t="s">
        <v>1126</v>
      </c>
      <c r="D511" s="119" t="s">
        <v>1125</v>
      </c>
      <c r="E511" s="194" t="s">
        <v>596</v>
      </c>
      <c r="F511" s="195" t="s">
        <v>89</v>
      </c>
      <c r="G511" s="196">
        <v>5</v>
      </c>
      <c r="H511" s="196">
        <v>8</v>
      </c>
      <c r="I511" s="197">
        <v>6505.2</v>
      </c>
      <c r="J511" s="197">
        <v>5704.3</v>
      </c>
      <c r="K511" s="196">
        <v>68</v>
      </c>
      <c r="L511" s="117">
        <f>'Приложение 2 КСП 2018-2019 гг'!G513</f>
        <v>5874508</v>
      </c>
      <c r="M511" s="253">
        <v>0</v>
      </c>
      <c r="N511" s="253">
        <v>0</v>
      </c>
      <c r="O511" s="253">
        <v>0</v>
      </c>
      <c r="P511" s="253">
        <f t="shared" si="97"/>
        <v>5874508</v>
      </c>
      <c r="Q511" s="253">
        <v>0</v>
      </c>
      <c r="R511" s="144">
        <v>0</v>
      </c>
      <c r="S511" s="46" t="s">
        <v>586</v>
      </c>
      <c r="T511" s="41"/>
      <c r="U511" s="42"/>
    </row>
    <row r="512" spans="1:21" ht="9" hidden="1" customHeight="1">
      <c r="A512" s="339">
        <v>150</v>
      </c>
      <c r="B512" s="193" t="s">
        <v>782</v>
      </c>
      <c r="C512" s="211" t="s">
        <v>1126</v>
      </c>
      <c r="D512" s="119" t="s">
        <v>1125</v>
      </c>
      <c r="E512" s="194" t="s">
        <v>589</v>
      </c>
      <c r="F512" s="195" t="s">
        <v>89</v>
      </c>
      <c r="G512" s="196">
        <v>5</v>
      </c>
      <c r="H512" s="196">
        <v>8</v>
      </c>
      <c r="I512" s="197">
        <v>6503.8</v>
      </c>
      <c r="J512" s="197">
        <v>5532.6</v>
      </c>
      <c r="K512" s="196">
        <v>45</v>
      </c>
      <c r="L512" s="117">
        <f>'Приложение 2 КСП 2018-2019 гг'!G514</f>
        <v>6084550</v>
      </c>
      <c r="M512" s="253">
        <v>0</v>
      </c>
      <c r="N512" s="253">
        <v>0</v>
      </c>
      <c r="O512" s="253">
        <v>0</v>
      </c>
      <c r="P512" s="253">
        <f t="shared" si="97"/>
        <v>6084550</v>
      </c>
      <c r="Q512" s="253">
        <v>0</v>
      </c>
      <c r="R512" s="144">
        <v>0</v>
      </c>
      <c r="S512" s="46" t="s">
        <v>586</v>
      </c>
      <c r="T512" s="41"/>
      <c r="U512" s="42"/>
    </row>
    <row r="513" spans="1:21" ht="9" hidden="1" customHeight="1">
      <c r="A513" s="339">
        <v>151</v>
      </c>
      <c r="B513" s="193" t="s">
        <v>783</v>
      </c>
      <c r="C513" s="213" t="s">
        <v>1126</v>
      </c>
      <c r="D513" s="119" t="s">
        <v>1125</v>
      </c>
      <c r="E513" s="194" t="s">
        <v>596</v>
      </c>
      <c r="F513" s="195" t="s">
        <v>87</v>
      </c>
      <c r="G513" s="196">
        <v>5</v>
      </c>
      <c r="H513" s="196">
        <v>1</v>
      </c>
      <c r="I513" s="197">
        <v>2968.9</v>
      </c>
      <c r="J513" s="197">
        <v>2443.3000000000002</v>
      </c>
      <c r="K513" s="196">
        <v>74</v>
      </c>
      <c r="L513" s="117">
        <f>'Приложение 2 КСП 2018-2019 гг'!G515</f>
        <v>2747216</v>
      </c>
      <c r="M513" s="253">
        <v>0</v>
      </c>
      <c r="N513" s="253">
        <v>0</v>
      </c>
      <c r="O513" s="253">
        <v>0</v>
      </c>
      <c r="P513" s="253">
        <f t="shared" si="97"/>
        <v>2747216</v>
      </c>
      <c r="Q513" s="253">
        <v>0</v>
      </c>
      <c r="R513" s="144">
        <v>0</v>
      </c>
      <c r="S513" s="46" t="s">
        <v>586</v>
      </c>
      <c r="T513" s="41"/>
      <c r="U513" s="42"/>
    </row>
    <row r="514" spans="1:21" ht="9" hidden="1" customHeight="1">
      <c r="A514" s="339">
        <v>152</v>
      </c>
      <c r="B514" s="125" t="s">
        <v>758</v>
      </c>
      <c r="C514" s="213" t="s">
        <v>1126</v>
      </c>
      <c r="D514" s="119" t="s">
        <v>1125</v>
      </c>
      <c r="E514" s="127" t="s">
        <v>771</v>
      </c>
      <c r="F514" s="128" t="s">
        <v>87</v>
      </c>
      <c r="G514" s="178">
        <v>2</v>
      </c>
      <c r="H514" s="178">
        <v>1</v>
      </c>
      <c r="I514" s="129">
        <v>232.5</v>
      </c>
      <c r="J514" s="129">
        <v>210.2</v>
      </c>
      <c r="K514" s="178">
        <v>7</v>
      </c>
      <c r="L514" s="117">
        <f>'Приложение 2 КСП 2018-2019 гг'!G516</f>
        <v>721182</v>
      </c>
      <c r="M514" s="253">
        <v>0</v>
      </c>
      <c r="N514" s="253">
        <v>0</v>
      </c>
      <c r="O514" s="253">
        <v>0</v>
      </c>
      <c r="P514" s="253">
        <f t="shared" si="97"/>
        <v>721182</v>
      </c>
      <c r="Q514" s="253">
        <v>0</v>
      </c>
      <c r="R514" s="144">
        <v>0</v>
      </c>
      <c r="S514" s="46" t="s">
        <v>586</v>
      </c>
      <c r="T514" s="41"/>
      <c r="U514" s="42"/>
    </row>
    <row r="515" spans="1:21" ht="27" hidden="1" customHeight="1">
      <c r="A515" s="599" t="s">
        <v>228</v>
      </c>
      <c r="B515" s="599"/>
      <c r="C515" s="46"/>
      <c r="D515" s="142"/>
      <c r="E515" s="54" t="s">
        <v>387</v>
      </c>
      <c r="F515" s="54" t="s">
        <v>387</v>
      </c>
      <c r="G515" s="54" t="s">
        <v>387</v>
      </c>
      <c r="H515" s="54" t="s">
        <v>387</v>
      </c>
      <c r="I515" s="225">
        <f>SUM(I503:I514)</f>
        <v>45485</v>
      </c>
      <c r="J515" s="225">
        <f t="shared" ref="J515:R515" si="98">SUM(J503:J514)</f>
        <v>40637.4</v>
      </c>
      <c r="K515" s="47">
        <f t="shared" si="98"/>
        <v>820</v>
      </c>
      <c r="L515" s="225">
        <f t="shared" si="98"/>
        <v>45220080</v>
      </c>
      <c r="M515" s="225">
        <f t="shared" si="98"/>
        <v>0</v>
      </c>
      <c r="N515" s="225">
        <f t="shared" si="98"/>
        <v>0</v>
      </c>
      <c r="O515" s="225">
        <f t="shared" si="98"/>
        <v>0</v>
      </c>
      <c r="P515" s="225">
        <f t="shared" si="98"/>
        <v>45220080</v>
      </c>
      <c r="Q515" s="225">
        <f t="shared" si="98"/>
        <v>0</v>
      </c>
      <c r="R515" s="225">
        <f t="shared" si="98"/>
        <v>0</v>
      </c>
      <c r="S515" s="144"/>
      <c r="T515" s="143"/>
      <c r="U515" s="42"/>
    </row>
    <row r="516" spans="1:21" ht="9" hidden="1" customHeight="1">
      <c r="A516" s="502" t="s">
        <v>239</v>
      </c>
      <c r="B516" s="502"/>
      <c r="C516" s="502"/>
      <c r="D516" s="502"/>
      <c r="E516" s="502"/>
      <c r="F516" s="502"/>
      <c r="G516" s="502"/>
      <c r="H516" s="502"/>
      <c r="I516" s="502"/>
      <c r="J516" s="502"/>
      <c r="K516" s="502"/>
      <c r="L516" s="502"/>
      <c r="M516" s="502"/>
      <c r="N516" s="502"/>
      <c r="O516" s="502"/>
      <c r="P516" s="502"/>
      <c r="Q516" s="502"/>
      <c r="R516" s="502"/>
      <c r="S516" s="502"/>
      <c r="T516" s="162"/>
      <c r="U516" s="162"/>
    </row>
    <row r="517" spans="1:21" ht="9" hidden="1" customHeight="1">
      <c r="A517" s="145">
        <v>153</v>
      </c>
      <c r="B517" s="198" t="s">
        <v>1011</v>
      </c>
      <c r="C517" s="220" t="s">
        <v>1126</v>
      </c>
      <c r="D517" s="119" t="s">
        <v>1125</v>
      </c>
      <c r="E517" s="199" t="s">
        <v>593</v>
      </c>
      <c r="F517" s="200" t="s">
        <v>87</v>
      </c>
      <c r="G517" s="201">
        <v>3</v>
      </c>
      <c r="H517" s="201">
        <v>2</v>
      </c>
      <c r="I517" s="202">
        <v>919.3</v>
      </c>
      <c r="J517" s="202">
        <v>895.2</v>
      </c>
      <c r="K517" s="201">
        <v>80</v>
      </c>
      <c r="L517" s="117">
        <f>'Приложение 2 КСП 2018-2019 гг'!G519</f>
        <v>1681680</v>
      </c>
      <c r="M517" s="253">
        <v>0</v>
      </c>
      <c r="N517" s="253">
        <v>0</v>
      </c>
      <c r="O517" s="253">
        <v>0</v>
      </c>
      <c r="P517" s="253">
        <f t="shared" ref="P517:P519" si="99">L517</f>
        <v>1681680</v>
      </c>
      <c r="Q517" s="144">
        <v>0</v>
      </c>
      <c r="R517" s="144">
        <v>0</v>
      </c>
      <c r="S517" s="46" t="s">
        <v>586</v>
      </c>
      <c r="T517" s="41"/>
      <c r="U517" s="42"/>
    </row>
    <row r="518" spans="1:21" ht="9" hidden="1" customHeight="1">
      <c r="A518" s="145">
        <v>154</v>
      </c>
      <c r="B518" s="198" t="s">
        <v>1012</v>
      </c>
      <c r="C518" s="220" t="s">
        <v>1126</v>
      </c>
      <c r="D518" s="119" t="s">
        <v>1125</v>
      </c>
      <c r="E518" s="199" t="s">
        <v>612</v>
      </c>
      <c r="F518" s="200" t="s">
        <v>87</v>
      </c>
      <c r="G518" s="201">
        <v>5</v>
      </c>
      <c r="H518" s="201">
        <v>1</v>
      </c>
      <c r="I518" s="202">
        <v>4632.1000000000004</v>
      </c>
      <c r="J518" s="202">
        <v>3823.3</v>
      </c>
      <c r="K518" s="201">
        <v>48</v>
      </c>
      <c r="L518" s="117">
        <f>'Приложение 2 КСП 2018-2019 гг'!G520</f>
        <v>3027272</v>
      </c>
      <c r="M518" s="253">
        <v>0</v>
      </c>
      <c r="N518" s="253">
        <v>0</v>
      </c>
      <c r="O518" s="253">
        <v>0</v>
      </c>
      <c r="P518" s="253">
        <f t="shared" si="99"/>
        <v>3027272</v>
      </c>
      <c r="Q518" s="144">
        <v>0</v>
      </c>
      <c r="R518" s="144">
        <v>0</v>
      </c>
      <c r="S518" s="46" t="s">
        <v>586</v>
      </c>
      <c r="T518" s="41"/>
      <c r="U518" s="42"/>
    </row>
    <row r="519" spans="1:21" ht="9" hidden="1" customHeight="1">
      <c r="A519" s="145">
        <v>155</v>
      </c>
      <c r="B519" s="179" t="s">
        <v>1054</v>
      </c>
      <c r="C519" s="216" t="s">
        <v>1126</v>
      </c>
      <c r="D519" s="180" t="s">
        <v>1124</v>
      </c>
      <c r="E519" s="181" t="s">
        <v>296</v>
      </c>
      <c r="F519" s="182" t="s">
        <v>87</v>
      </c>
      <c r="G519" s="183">
        <v>5</v>
      </c>
      <c r="H519" s="183">
        <v>4</v>
      </c>
      <c r="I519" s="184">
        <v>3422.3</v>
      </c>
      <c r="J519" s="184">
        <v>2764.1</v>
      </c>
      <c r="K519" s="183">
        <v>693</v>
      </c>
      <c r="L519" s="117">
        <f>'Приложение 2 КСП 2018-2019 гг'!G521</f>
        <v>2787224</v>
      </c>
      <c r="M519" s="253">
        <v>0</v>
      </c>
      <c r="N519" s="253">
        <v>0</v>
      </c>
      <c r="O519" s="253">
        <v>0</v>
      </c>
      <c r="P519" s="253">
        <f t="shared" si="99"/>
        <v>2787224</v>
      </c>
      <c r="Q519" s="144">
        <v>0</v>
      </c>
      <c r="R519" s="144">
        <v>0</v>
      </c>
      <c r="S519" s="46" t="s">
        <v>586</v>
      </c>
      <c r="T519" s="41"/>
      <c r="U519" s="42"/>
    </row>
    <row r="520" spans="1:21" ht="24.75" hidden="1" customHeight="1">
      <c r="A520" s="599" t="s">
        <v>422</v>
      </c>
      <c r="B520" s="599"/>
      <c r="C520" s="46"/>
      <c r="D520" s="142"/>
      <c r="E520" s="145" t="s">
        <v>387</v>
      </c>
      <c r="F520" s="145" t="s">
        <v>387</v>
      </c>
      <c r="G520" s="145" t="s">
        <v>387</v>
      </c>
      <c r="H520" s="145" t="s">
        <v>387</v>
      </c>
      <c r="I520" s="253">
        <f>SUM(I517:I519)</f>
        <v>8973.7000000000007</v>
      </c>
      <c r="J520" s="253">
        <f t="shared" ref="J520:R520" si="100">SUM(J517:J519)</f>
        <v>7482.6</v>
      </c>
      <c r="K520" s="45">
        <f t="shared" si="100"/>
        <v>821</v>
      </c>
      <c r="L520" s="253">
        <f t="shared" si="100"/>
        <v>7496176</v>
      </c>
      <c r="M520" s="253">
        <f t="shared" si="100"/>
        <v>0</v>
      </c>
      <c r="N520" s="253">
        <f t="shared" si="100"/>
        <v>0</v>
      </c>
      <c r="O520" s="253">
        <f t="shared" si="100"/>
        <v>0</v>
      </c>
      <c r="P520" s="253">
        <f t="shared" si="100"/>
        <v>7496176</v>
      </c>
      <c r="Q520" s="253">
        <f t="shared" si="100"/>
        <v>0</v>
      </c>
      <c r="R520" s="253">
        <f t="shared" si="100"/>
        <v>0</v>
      </c>
      <c r="S520" s="144"/>
      <c r="T520" s="41"/>
      <c r="U520" s="42"/>
    </row>
    <row r="521" spans="1:21" ht="9" hidden="1" customHeight="1">
      <c r="A521" s="502" t="s">
        <v>248</v>
      </c>
      <c r="B521" s="502"/>
      <c r="C521" s="502"/>
      <c r="D521" s="502"/>
      <c r="E521" s="502"/>
      <c r="F521" s="502"/>
      <c r="G521" s="502"/>
      <c r="H521" s="502"/>
      <c r="I521" s="502"/>
      <c r="J521" s="502"/>
      <c r="K521" s="502"/>
      <c r="L521" s="502"/>
      <c r="M521" s="502"/>
      <c r="N521" s="502"/>
      <c r="O521" s="502"/>
      <c r="P521" s="502"/>
      <c r="Q521" s="502"/>
      <c r="R521" s="502"/>
      <c r="S521" s="502"/>
      <c r="T521" s="162"/>
      <c r="U521" s="162"/>
    </row>
    <row r="522" spans="1:21" ht="9" hidden="1" customHeight="1">
      <c r="A522" s="145">
        <v>156</v>
      </c>
      <c r="B522" s="203" t="s">
        <v>793</v>
      </c>
      <c r="C522" s="46" t="s">
        <v>1126</v>
      </c>
      <c r="D522" s="119" t="s">
        <v>1125</v>
      </c>
      <c r="E522" s="145" t="s">
        <v>217</v>
      </c>
      <c r="F522" s="145" t="s">
        <v>87</v>
      </c>
      <c r="G522" s="44">
        <v>2</v>
      </c>
      <c r="H522" s="44">
        <v>2</v>
      </c>
      <c r="I522" s="144">
        <v>636.20000000000005</v>
      </c>
      <c r="J522" s="144">
        <v>622.20000000000005</v>
      </c>
      <c r="K522" s="145">
        <v>21</v>
      </c>
      <c r="L522" s="117">
        <f>'Приложение 2 КСП 2018-2019 гг'!G524</f>
        <v>1781934</v>
      </c>
      <c r="M522" s="253">
        <v>0</v>
      </c>
      <c r="N522" s="253">
        <v>0</v>
      </c>
      <c r="O522" s="253">
        <v>0</v>
      </c>
      <c r="P522" s="253">
        <f t="shared" ref="P522:P525" si="101">L522</f>
        <v>1781934</v>
      </c>
      <c r="Q522" s="144">
        <v>0</v>
      </c>
      <c r="R522" s="144">
        <v>0</v>
      </c>
      <c r="S522" s="46" t="s">
        <v>586</v>
      </c>
      <c r="T522" s="41"/>
      <c r="U522" s="42"/>
    </row>
    <row r="523" spans="1:21" ht="9" hidden="1" customHeight="1">
      <c r="A523" s="145">
        <v>157</v>
      </c>
      <c r="B523" s="203" t="s">
        <v>794</v>
      </c>
      <c r="C523" s="46" t="s">
        <v>1126</v>
      </c>
      <c r="D523" s="119" t="s">
        <v>1125</v>
      </c>
      <c r="E523" s="145" t="s">
        <v>88</v>
      </c>
      <c r="F523" s="145" t="s">
        <v>87</v>
      </c>
      <c r="G523" s="44">
        <v>2</v>
      </c>
      <c r="H523" s="44">
        <v>2</v>
      </c>
      <c r="I523" s="144">
        <v>646.1</v>
      </c>
      <c r="J523" s="144">
        <v>610.79999999999995</v>
      </c>
      <c r="K523" s="145">
        <v>29</v>
      </c>
      <c r="L523" s="117">
        <f>'Приложение 2 КСП 2018-2019 гг'!G525</f>
        <v>2018016</v>
      </c>
      <c r="M523" s="253">
        <v>0</v>
      </c>
      <c r="N523" s="253">
        <v>0</v>
      </c>
      <c r="O523" s="253">
        <v>0</v>
      </c>
      <c r="P523" s="253">
        <f t="shared" si="101"/>
        <v>2018016</v>
      </c>
      <c r="Q523" s="144">
        <v>0</v>
      </c>
      <c r="R523" s="144">
        <v>0</v>
      </c>
      <c r="S523" s="46" t="s">
        <v>586</v>
      </c>
      <c r="T523" s="41"/>
      <c r="U523" s="42"/>
    </row>
    <row r="524" spans="1:21" ht="9" hidden="1" customHeight="1">
      <c r="A524" s="252">
        <v>158</v>
      </c>
      <c r="B524" s="203" t="s">
        <v>795</v>
      </c>
      <c r="C524" s="46" t="s">
        <v>1126</v>
      </c>
      <c r="D524" s="119" t="s">
        <v>1125</v>
      </c>
      <c r="E524" s="145" t="s">
        <v>605</v>
      </c>
      <c r="F524" s="145" t="s">
        <v>87</v>
      </c>
      <c r="G524" s="44">
        <v>2</v>
      </c>
      <c r="H524" s="44">
        <v>1</v>
      </c>
      <c r="I524" s="144">
        <v>914.3</v>
      </c>
      <c r="J524" s="144">
        <v>635.4</v>
      </c>
      <c r="K524" s="145">
        <v>52</v>
      </c>
      <c r="L524" s="117">
        <f>'Приложение 2 КСП 2018-2019 гг'!G526</f>
        <v>1969506</v>
      </c>
      <c r="M524" s="253">
        <v>0</v>
      </c>
      <c r="N524" s="253">
        <v>0</v>
      </c>
      <c r="O524" s="253">
        <v>0</v>
      </c>
      <c r="P524" s="253">
        <f t="shared" si="101"/>
        <v>1969506</v>
      </c>
      <c r="Q524" s="144">
        <v>0</v>
      </c>
      <c r="R524" s="144">
        <v>0</v>
      </c>
      <c r="S524" s="46" t="s">
        <v>586</v>
      </c>
      <c r="T524" s="41"/>
      <c r="U524" s="42"/>
    </row>
    <row r="525" spans="1:21" ht="9" hidden="1" customHeight="1">
      <c r="A525" s="252">
        <v>159</v>
      </c>
      <c r="B525" s="203" t="s">
        <v>796</v>
      </c>
      <c r="C525" s="46" t="s">
        <v>1126</v>
      </c>
      <c r="D525" s="119" t="s">
        <v>1125</v>
      </c>
      <c r="E525" s="145" t="s">
        <v>615</v>
      </c>
      <c r="F525" s="145" t="s">
        <v>249</v>
      </c>
      <c r="G525" s="44">
        <v>3</v>
      </c>
      <c r="H525" s="44">
        <v>2</v>
      </c>
      <c r="I525" s="144">
        <v>1080</v>
      </c>
      <c r="J525" s="144">
        <v>623.5</v>
      </c>
      <c r="K525" s="145">
        <v>20</v>
      </c>
      <c r="L525" s="117">
        <f>'Приложение 2 КСП 2018-2019 гг'!G527</f>
        <v>2108568</v>
      </c>
      <c r="M525" s="253">
        <v>0</v>
      </c>
      <c r="N525" s="253">
        <v>0</v>
      </c>
      <c r="O525" s="253">
        <v>0</v>
      </c>
      <c r="P525" s="253">
        <f t="shared" si="101"/>
        <v>2108568</v>
      </c>
      <c r="Q525" s="144">
        <v>0</v>
      </c>
      <c r="R525" s="144">
        <v>0</v>
      </c>
      <c r="S525" s="46" t="s">
        <v>586</v>
      </c>
      <c r="T525" s="41"/>
      <c r="U525" s="42"/>
    </row>
    <row r="526" spans="1:21" ht="25.5" hidden="1" customHeight="1">
      <c r="A526" s="599" t="s">
        <v>247</v>
      </c>
      <c r="B526" s="599"/>
      <c r="C526" s="46"/>
      <c r="D526" s="142"/>
      <c r="E526" s="145" t="s">
        <v>387</v>
      </c>
      <c r="F526" s="145" t="s">
        <v>387</v>
      </c>
      <c r="G526" s="145" t="s">
        <v>387</v>
      </c>
      <c r="H526" s="145" t="s">
        <v>387</v>
      </c>
      <c r="I526" s="253">
        <f t="shared" ref="I526:R526" si="102">SUM(I522:I525)</f>
        <v>3276.6000000000004</v>
      </c>
      <c r="J526" s="253">
        <f t="shared" si="102"/>
        <v>2491.9</v>
      </c>
      <c r="K526" s="45">
        <f t="shared" si="102"/>
        <v>122</v>
      </c>
      <c r="L526" s="253">
        <f t="shared" si="102"/>
        <v>7878024</v>
      </c>
      <c r="M526" s="253">
        <f t="shared" si="102"/>
        <v>0</v>
      </c>
      <c r="N526" s="253">
        <f t="shared" si="102"/>
        <v>0</v>
      </c>
      <c r="O526" s="253">
        <f t="shared" si="102"/>
        <v>0</v>
      </c>
      <c r="P526" s="253">
        <f t="shared" si="102"/>
        <v>7878024</v>
      </c>
      <c r="Q526" s="253">
        <f t="shared" si="102"/>
        <v>0</v>
      </c>
      <c r="R526" s="253">
        <f t="shared" si="102"/>
        <v>0</v>
      </c>
      <c r="S526" s="144"/>
      <c r="T526" s="41"/>
      <c r="U526" s="42"/>
    </row>
    <row r="527" spans="1:21" ht="9" hidden="1" customHeight="1">
      <c r="A527" s="504" t="s">
        <v>256</v>
      </c>
      <c r="B527" s="504"/>
      <c r="C527" s="504"/>
      <c r="D527" s="504"/>
      <c r="E527" s="504"/>
      <c r="F527" s="504"/>
      <c r="G527" s="504"/>
      <c r="H527" s="504"/>
      <c r="I527" s="504"/>
      <c r="J527" s="504"/>
      <c r="K527" s="504"/>
      <c r="L527" s="504"/>
      <c r="M527" s="504"/>
      <c r="N527" s="504"/>
      <c r="O527" s="504"/>
      <c r="P527" s="504"/>
      <c r="Q527" s="504"/>
      <c r="R527" s="504"/>
      <c r="S527" s="504"/>
      <c r="T527" s="190"/>
      <c r="U527" s="190"/>
    </row>
    <row r="528" spans="1:21" ht="9" hidden="1" customHeight="1">
      <c r="A528" s="78">
        <v>160</v>
      </c>
      <c r="B528" s="142" t="s">
        <v>801</v>
      </c>
      <c r="C528" s="46" t="s">
        <v>1126</v>
      </c>
      <c r="D528" s="119" t="s">
        <v>1125</v>
      </c>
      <c r="E528" s="145" t="s">
        <v>217</v>
      </c>
      <c r="F528" s="145" t="s">
        <v>87</v>
      </c>
      <c r="G528" s="44">
        <v>2</v>
      </c>
      <c r="H528" s="44">
        <v>2</v>
      </c>
      <c r="I528" s="144">
        <v>782.35</v>
      </c>
      <c r="J528" s="144">
        <v>702.8</v>
      </c>
      <c r="K528" s="44">
        <v>26</v>
      </c>
      <c r="L528" s="117">
        <f>'Приложение 2 КСП 2018-2019 гг'!G530</f>
        <v>2076616.08</v>
      </c>
      <c r="M528" s="253">
        <v>0</v>
      </c>
      <c r="N528" s="253">
        <v>0</v>
      </c>
      <c r="O528" s="253">
        <v>0</v>
      </c>
      <c r="P528" s="253">
        <f t="shared" ref="P528:P529" si="103">L528</f>
        <v>2076616.08</v>
      </c>
      <c r="Q528" s="144">
        <v>0</v>
      </c>
      <c r="R528" s="144">
        <v>0</v>
      </c>
      <c r="S528" s="46" t="s">
        <v>586</v>
      </c>
      <c r="T528" s="41"/>
      <c r="U528" s="42"/>
    </row>
    <row r="529" spans="1:21" ht="9" hidden="1" customHeight="1">
      <c r="A529" s="78">
        <v>161</v>
      </c>
      <c r="B529" s="142" t="s">
        <v>802</v>
      </c>
      <c r="C529" s="46" t="s">
        <v>1126</v>
      </c>
      <c r="D529" s="119" t="s">
        <v>1125</v>
      </c>
      <c r="E529" s="145" t="s">
        <v>606</v>
      </c>
      <c r="F529" s="145" t="s">
        <v>87</v>
      </c>
      <c r="G529" s="44">
        <v>4</v>
      </c>
      <c r="H529" s="44">
        <v>2</v>
      </c>
      <c r="I529" s="144">
        <v>1950.1</v>
      </c>
      <c r="J529" s="144">
        <v>1798.2</v>
      </c>
      <c r="K529" s="44">
        <v>125</v>
      </c>
      <c r="L529" s="117">
        <f>'Приложение 2 КСП 2018-2019 гг'!G531</f>
        <v>3104640</v>
      </c>
      <c r="M529" s="253">
        <v>0</v>
      </c>
      <c r="N529" s="253">
        <v>0</v>
      </c>
      <c r="O529" s="253">
        <v>0</v>
      </c>
      <c r="P529" s="253">
        <f t="shared" si="103"/>
        <v>3104640</v>
      </c>
      <c r="Q529" s="144">
        <v>0</v>
      </c>
      <c r="R529" s="144">
        <v>0</v>
      </c>
      <c r="S529" s="46" t="s">
        <v>586</v>
      </c>
      <c r="T529" s="41"/>
      <c r="U529" s="42"/>
    </row>
    <row r="530" spans="1:21" ht="28.5" hidden="1" customHeight="1">
      <c r="A530" s="606" t="s">
        <v>258</v>
      </c>
      <c r="B530" s="606"/>
      <c r="C530" s="86"/>
      <c r="D530" s="147"/>
      <c r="E530" s="145" t="s">
        <v>387</v>
      </c>
      <c r="F530" s="145" t="s">
        <v>387</v>
      </c>
      <c r="G530" s="145" t="s">
        <v>387</v>
      </c>
      <c r="H530" s="145" t="s">
        <v>387</v>
      </c>
      <c r="I530" s="253">
        <f>SUM(I528:I529)</f>
        <v>2732.45</v>
      </c>
      <c r="J530" s="253">
        <f t="shared" ref="J530:R530" si="104">SUM(J528:J529)</f>
        <v>2501</v>
      </c>
      <c r="K530" s="45">
        <f t="shared" si="104"/>
        <v>151</v>
      </c>
      <c r="L530" s="253">
        <f t="shared" si="104"/>
        <v>5181256.08</v>
      </c>
      <c r="M530" s="253">
        <f t="shared" si="104"/>
        <v>0</v>
      </c>
      <c r="N530" s="253">
        <f t="shared" si="104"/>
        <v>0</v>
      </c>
      <c r="O530" s="253">
        <f t="shared" si="104"/>
        <v>0</v>
      </c>
      <c r="P530" s="253">
        <f t="shared" si="104"/>
        <v>5181256.08</v>
      </c>
      <c r="Q530" s="253">
        <f t="shared" si="104"/>
        <v>0</v>
      </c>
      <c r="R530" s="253">
        <f t="shared" si="104"/>
        <v>0</v>
      </c>
      <c r="S530" s="144"/>
      <c r="T530" s="163"/>
      <c r="U530" s="164"/>
    </row>
    <row r="531" spans="1:21" ht="9" hidden="1" customHeight="1">
      <c r="A531" s="502" t="s">
        <v>391</v>
      </c>
      <c r="B531" s="502"/>
      <c r="C531" s="502"/>
      <c r="D531" s="502"/>
      <c r="E531" s="502"/>
      <c r="F531" s="502"/>
      <c r="G531" s="502"/>
      <c r="H531" s="502"/>
      <c r="I531" s="502"/>
      <c r="J531" s="502"/>
      <c r="K531" s="502"/>
      <c r="L531" s="502"/>
      <c r="M531" s="502"/>
      <c r="N531" s="502"/>
      <c r="O531" s="502"/>
      <c r="P531" s="502"/>
      <c r="Q531" s="502"/>
      <c r="R531" s="502"/>
      <c r="S531" s="502"/>
      <c r="T531" s="162"/>
      <c r="U531" s="162"/>
    </row>
    <row r="532" spans="1:21" ht="9" hidden="1" customHeight="1">
      <c r="A532" s="145">
        <v>162</v>
      </c>
      <c r="B532" s="142" t="s">
        <v>823</v>
      </c>
      <c r="C532" s="46" t="s">
        <v>1126</v>
      </c>
      <c r="D532" s="119" t="s">
        <v>1125</v>
      </c>
      <c r="E532" s="145" t="s">
        <v>835</v>
      </c>
      <c r="F532" s="145" t="s">
        <v>89</v>
      </c>
      <c r="G532" s="44">
        <v>3</v>
      </c>
      <c r="H532" s="44">
        <v>3</v>
      </c>
      <c r="I532" s="144">
        <v>1058.2</v>
      </c>
      <c r="J532" s="144">
        <v>961.6</v>
      </c>
      <c r="K532" s="44">
        <v>37</v>
      </c>
      <c r="L532" s="117">
        <f>'Приложение 2 КСП 2018-2019 гг'!G534</f>
        <v>1500300</v>
      </c>
      <c r="M532" s="253">
        <v>0</v>
      </c>
      <c r="N532" s="253">
        <v>0</v>
      </c>
      <c r="O532" s="253">
        <v>0</v>
      </c>
      <c r="P532" s="253">
        <f t="shared" ref="P532" si="105">L532</f>
        <v>1500300</v>
      </c>
      <c r="Q532" s="144">
        <v>0</v>
      </c>
      <c r="R532" s="144">
        <v>0</v>
      </c>
      <c r="S532" s="46" t="s">
        <v>586</v>
      </c>
      <c r="T532" s="41"/>
      <c r="U532" s="42"/>
    </row>
    <row r="533" spans="1:21" ht="9" hidden="1" customHeight="1">
      <c r="A533" s="145">
        <v>163</v>
      </c>
      <c r="B533" s="142" t="s">
        <v>824</v>
      </c>
      <c r="C533" s="46" t="s">
        <v>1126</v>
      </c>
      <c r="D533" s="119" t="s">
        <v>1125</v>
      </c>
      <c r="E533" s="145" t="s">
        <v>836</v>
      </c>
      <c r="F533" s="145" t="s">
        <v>89</v>
      </c>
      <c r="G533" s="44">
        <v>3</v>
      </c>
      <c r="H533" s="44">
        <v>2</v>
      </c>
      <c r="I533" s="144">
        <v>989.7</v>
      </c>
      <c r="J533" s="144">
        <v>964.1</v>
      </c>
      <c r="K533" s="44">
        <v>55</v>
      </c>
      <c r="L533" s="117">
        <f>'Приложение 2 КСП 2018-2019 гг'!G535</f>
        <v>1500300</v>
      </c>
      <c r="M533" s="253">
        <v>0</v>
      </c>
      <c r="N533" s="253">
        <v>0</v>
      </c>
      <c r="O533" s="253">
        <v>0</v>
      </c>
      <c r="P533" s="253">
        <f t="shared" ref="P533:P544" si="106">L533</f>
        <v>1500300</v>
      </c>
      <c r="Q533" s="144">
        <v>0</v>
      </c>
      <c r="R533" s="144">
        <v>0</v>
      </c>
      <c r="S533" s="46" t="s">
        <v>586</v>
      </c>
      <c r="T533" s="41"/>
      <c r="U533" s="42"/>
    </row>
    <row r="534" spans="1:21" ht="9" hidden="1" customHeight="1">
      <c r="A534" s="252">
        <v>164</v>
      </c>
      <c r="B534" s="142" t="s">
        <v>825</v>
      </c>
      <c r="C534" s="46" t="s">
        <v>1126</v>
      </c>
      <c r="D534" s="119" t="s">
        <v>1125</v>
      </c>
      <c r="E534" s="145" t="s">
        <v>784</v>
      </c>
      <c r="F534" s="145" t="s">
        <v>87</v>
      </c>
      <c r="G534" s="44">
        <v>3</v>
      </c>
      <c r="H534" s="44">
        <v>3</v>
      </c>
      <c r="I534" s="144">
        <v>1058.2</v>
      </c>
      <c r="J534" s="144">
        <v>961.6</v>
      </c>
      <c r="K534" s="44">
        <v>52</v>
      </c>
      <c r="L534" s="117">
        <f>'Приложение 2 КСП 2018-2019 гг'!G536</f>
        <v>1500300</v>
      </c>
      <c r="M534" s="253">
        <v>0</v>
      </c>
      <c r="N534" s="253">
        <v>0</v>
      </c>
      <c r="O534" s="253">
        <v>0</v>
      </c>
      <c r="P534" s="253">
        <f t="shared" si="106"/>
        <v>1500300</v>
      </c>
      <c r="Q534" s="144">
        <v>0</v>
      </c>
      <c r="R534" s="144">
        <v>0</v>
      </c>
      <c r="S534" s="46" t="s">
        <v>586</v>
      </c>
      <c r="T534" s="41"/>
      <c r="U534" s="42"/>
    </row>
    <row r="535" spans="1:21" ht="9" hidden="1" customHeight="1">
      <c r="A535" s="252">
        <v>165</v>
      </c>
      <c r="B535" s="142" t="s">
        <v>826</v>
      </c>
      <c r="C535" s="46" t="s">
        <v>1126</v>
      </c>
      <c r="D535" s="119" t="s">
        <v>1125</v>
      </c>
      <c r="E535" s="145" t="s">
        <v>609</v>
      </c>
      <c r="F535" s="145" t="s">
        <v>87</v>
      </c>
      <c r="G535" s="44">
        <v>4</v>
      </c>
      <c r="H535" s="44">
        <v>4</v>
      </c>
      <c r="I535" s="144">
        <v>2763.4</v>
      </c>
      <c r="J535" s="144">
        <v>1676.6</v>
      </c>
      <c r="K535" s="44">
        <v>124</v>
      </c>
      <c r="L535" s="117">
        <f>'Приложение 2 КСП 2018-2019 гг'!G537</f>
        <v>3596208</v>
      </c>
      <c r="M535" s="253">
        <v>0</v>
      </c>
      <c r="N535" s="253">
        <v>0</v>
      </c>
      <c r="O535" s="253">
        <v>0</v>
      </c>
      <c r="P535" s="253">
        <f t="shared" si="106"/>
        <v>3596208</v>
      </c>
      <c r="Q535" s="144">
        <v>0</v>
      </c>
      <c r="R535" s="144">
        <v>0</v>
      </c>
      <c r="S535" s="46" t="s">
        <v>586</v>
      </c>
      <c r="T535" s="41"/>
      <c r="U535" s="42"/>
    </row>
    <row r="536" spans="1:21" ht="9" hidden="1" customHeight="1">
      <c r="A536" s="252">
        <v>166</v>
      </c>
      <c r="B536" s="142" t="s">
        <v>827</v>
      </c>
      <c r="C536" s="46" t="s">
        <v>1126</v>
      </c>
      <c r="D536" s="119" t="s">
        <v>1125</v>
      </c>
      <c r="E536" s="145" t="s">
        <v>742</v>
      </c>
      <c r="F536" s="145" t="s">
        <v>87</v>
      </c>
      <c r="G536" s="44">
        <v>3</v>
      </c>
      <c r="H536" s="44">
        <v>2</v>
      </c>
      <c r="I536" s="144">
        <v>1441.2</v>
      </c>
      <c r="J536" s="144">
        <v>1295.5999999999999</v>
      </c>
      <c r="K536" s="44">
        <v>68</v>
      </c>
      <c r="L536" s="117">
        <f>'Приложение 2 КСП 2018-2019 гг'!G538</f>
        <v>2572514.4</v>
      </c>
      <c r="M536" s="253">
        <v>0</v>
      </c>
      <c r="N536" s="253">
        <v>0</v>
      </c>
      <c r="O536" s="253">
        <v>0</v>
      </c>
      <c r="P536" s="253">
        <f t="shared" si="106"/>
        <v>2572514.4</v>
      </c>
      <c r="Q536" s="144">
        <v>0</v>
      </c>
      <c r="R536" s="144">
        <v>0</v>
      </c>
      <c r="S536" s="46" t="s">
        <v>586</v>
      </c>
      <c r="T536" s="41"/>
      <c r="U536" s="42"/>
    </row>
    <row r="537" spans="1:21" ht="9" hidden="1" customHeight="1">
      <c r="A537" s="252">
        <v>167</v>
      </c>
      <c r="B537" s="142" t="s">
        <v>828</v>
      </c>
      <c r="C537" s="46" t="s">
        <v>1126</v>
      </c>
      <c r="D537" s="119" t="s">
        <v>1125</v>
      </c>
      <c r="E537" s="145" t="s">
        <v>613</v>
      </c>
      <c r="F537" s="145" t="s">
        <v>87</v>
      </c>
      <c r="G537" s="44">
        <v>3</v>
      </c>
      <c r="H537" s="44">
        <v>3</v>
      </c>
      <c r="I537" s="144">
        <v>1710</v>
      </c>
      <c r="J537" s="144">
        <v>1545</v>
      </c>
      <c r="K537" s="145">
        <v>75</v>
      </c>
      <c r="L537" s="117">
        <f>'Приложение 2 КСП 2018-2019 гг'!G539</f>
        <v>3104640</v>
      </c>
      <c r="M537" s="253">
        <v>0</v>
      </c>
      <c r="N537" s="253">
        <v>0</v>
      </c>
      <c r="O537" s="253">
        <v>0</v>
      </c>
      <c r="P537" s="253">
        <f t="shared" si="106"/>
        <v>3104640</v>
      </c>
      <c r="Q537" s="144">
        <v>0</v>
      </c>
      <c r="R537" s="144">
        <v>0</v>
      </c>
      <c r="S537" s="46" t="s">
        <v>586</v>
      </c>
      <c r="T537" s="41"/>
      <c r="U537" s="42"/>
    </row>
    <row r="538" spans="1:21" ht="9" hidden="1" customHeight="1">
      <c r="A538" s="252">
        <v>168</v>
      </c>
      <c r="B538" s="142" t="s">
        <v>829</v>
      </c>
      <c r="C538" s="46" t="s">
        <v>1126</v>
      </c>
      <c r="D538" s="119" t="s">
        <v>1125</v>
      </c>
      <c r="E538" s="145" t="s">
        <v>613</v>
      </c>
      <c r="F538" s="145" t="s">
        <v>87</v>
      </c>
      <c r="G538" s="44">
        <v>3</v>
      </c>
      <c r="H538" s="44">
        <v>3</v>
      </c>
      <c r="I538" s="144">
        <v>1711.6</v>
      </c>
      <c r="J538" s="144">
        <v>1546.6</v>
      </c>
      <c r="K538" s="145">
        <v>74</v>
      </c>
      <c r="L538" s="117">
        <f>'Приложение 2 КСП 2018-2019 гг'!G540</f>
        <v>3104640</v>
      </c>
      <c r="M538" s="253">
        <v>0</v>
      </c>
      <c r="N538" s="253">
        <v>0</v>
      </c>
      <c r="O538" s="253">
        <v>0</v>
      </c>
      <c r="P538" s="253">
        <f t="shared" si="106"/>
        <v>3104640</v>
      </c>
      <c r="Q538" s="144">
        <v>0</v>
      </c>
      <c r="R538" s="144">
        <v>0</v>
      </c>
      <c r="S538" s="46" t="s">
        <v>586</v>
      </c>
      <c r="T538" s="41"/>
      <c r="U538" s="42"/>
    </row>
    <row r="539" spans="1:21" ht="9" hidden="1" customHeight="1">
      <c r="A539" s="252">
        <v>169</v>
      </c>
      <c r="B539" s="142" t="s">
        <v>830</v>
      </c>
      <c r="C539" s="46" t="s">
        <v>1126</v>
      </c>
      <c r="D539" s="119" t="s">
        <v>1125</v>
      </c>
      <c r="E539" s="145" t="s">
        <v>792</v>
      </c>
      <c r="F539" s="145" t="s">
        <v>87</v>
      </c>
      <c r="G539" s="44">
        <v>1</v>
      </c>
      <c r="H539" s="44">
        <v>1</v>
      </c>
      <c r="I539" s="144">
        <v>223.1</v>
      </c>
      <c r="J539" s="144">
        <v>208.8</v>
      </c>
      <c r="K539" s="44">
        <v>7</v>
      </c>
      <c r="L539" s="117">
        <f>'Приложение 2 КСП 2018-2019 гг'!G541</f>
        <v>740586</v>
      </c>
      <c r="M539" s="253">
        <v>0</v>
      </c>
      <c r="N539" s="253">
        <v>0</v>
      </c>
      <c r="O539" s="253">
        <v>0</v>
      </c>
      <c r="P539" s="253">
        <f t="shared" si="106"/>
        <v>740586</v>
      </c>
      <c r="Q539" s="144">
        <v>0</v>
      </c>
      <c r="R539" s="144">
        <v>0</v>
      </c>
      <c r="S539" s="46" t="s">
        <v>586</v>
      </c>
      <c r="T539" s="41"/>
      <c r="U539" s="42"/>
    </row>
    <row r="540" spans="1:21" ht="9" hidden="1" customHeight="1">
      <c r="A540" s="252">
        <v>170</v>
      </c>
      <c r="B540" s="142" t="s">
        <v>831</v>
      </c>
      <c r="C540" s="46" t="s">
        <v>1126</v>
      </c>
      <c r="D540" s="119" t="s">
        <v>1125</v>
      </c>
      <c r="E540" s="145" t="s">
        <v>749</v>
      </c>
      <c r="F540" s="145" t="s">
        <v>87</v>
      </c>
      <c r="G540" s="44">
        <v>3</v>
      </c>
      <c r="H540" s="44">
        <v>4</v>
      </c>
      <c r="I540" s="144">
        <v>3284.6</v>
      </c>
      <c r="J540" s="144">
        <v>2138.4</v>
      </c>
      <c r="K540" s="44">
        <v>110</v>
      </c>
      <c r="L540" s="117">
        <f>'Приложение 2 КСП 2018-2019 гг'!G542</f>
        <v>3485030.2</v>
      </c>
      <c r="M540" s="253">
        <v>0</v>
      </c>
      <c r="N540" s="253">
        <v>0</v>
      </c>
      <c r="O540" s="253">
        <v>0</v>
      </c>
      <c r="P540" s="253">
        <f t="shared" si="106"/>
        <v>3485030.2</v>
      </c>
      <c r="Q540" s="144">
        <v>0</v>
      </c>
      <c r="R540" s="144">
        <v>0</v>
      </c>
      <c r="S540" s="46" t="s">
        <v>586</v>
      </c>
      <c r="T540" s="41"/>
      <c r="U540" s="42"/>
    </row>
    <row r="541" spans="1:21" ht="9" hidden="1" customHeight="1">
      <c r="A541" s="252">
        <v>171</v>
      </c>
      <c r="B541" s="142" t="s">
        <v>832</v>
      </c>
      <c r="C541" s="46" t="s">
        <v>1126</v>
      </c>
      <c r="D541" s="119" t="s">
        <v>1125</v>
      </c>
      <c r="E541" s="145" t="s">
        <v>604</v>
      </c>
      <c r="F541" s="145" t="s">
        <v>89</v>
      </c>
      <c r="G541" s="44">
        <v>2</v>
      </c>
      <c r="H541" s="44">
        <v>1</v>
      </c>
      <c r="I541" s="144">
        <v>636.4</v>
      </c>
      <c r="J541" s="144">
        <v>400.2</v>
      </c>
      <c r="K541" s="44">
        <v>26</v>
      </c>
      <c r="L541" s="117">
        <f>'Приложение 2 КСП 2018-2019 гг'!G543</f>
        <v>733480</v>
      </c>
      <c r="M541" s="253">
        <v>0</v>
      </c>
      <c r="N541" s="253">
        <v>0</v>
      </c>
      <c r="O541" s="253">
        <v>0</v>
      </c>
      <c r="P541" s="253">
        <f t="shared" si="106"/>
        <v>733480</v>
      </c>
      <c r="Q541" s="144">
        <v>0</v>
      </c>
      <c r="R541" s="144">
        <v>0</v>
      </c>
      <c r="S541" s="46" t="s">
        <v>586</v>
      </c>
      <c r="T541" s="41"/>
      <c r="U541" s="42"/>
    </row>
    <row r="542" spans="1:21" ht="9" hidden="1" customHeight="1">
      <c r="A542" s="252">
        <v>172</v>
      </c>
      <c r="B542" s="142" t="s">
        <v>818</v>
      </c>
      <c r="C542" s="46" t="s">
        <v>1126</v>
      </c>
      <c r="D542" s="119" t="s">
        <v>1125</v>
      </c>
      <c r="E542" s="145" t="s">
        <v>597</v>
      </c>
      <c r="F542" s="145" t="s">
        <v>87</v>
      </c>
      <c r="G542" s="44">
        <v>2</v>
      </c>
      <c r="H542" s="44">
        <v>1</v>
      </c>
      <c r="I542" s="144">
        <v>637.9</v>
      </c>
      <c r="J542" s="144">
        <v>375.9</v>
      </c>
      <c r="K542" s="145">
        <v>22</v>
      </c>
      <c r="L542" s="117">
        <f>'Приложение 2 КСП 2018-2019 гг'!G544</f>
        <v>988697.7</v>
      </c>
      <c r="M542" s="253">
        <v>0</v>
      </c>
      <c r="N542" s="253">
        <v>0</v>
      </c>
      <c r="O542" s="253">
        <v>0</v>
      </c>
      <c r="P542" s="253">
        <f t="shared" si="106"/>
        <v>988697.7</v>
      </c>
      <c r="Q542" s="144">
        <v>0</v>
      </c>
      <c r="R542" s="144">
        <v>0</v>
      </c>
      <c r="S542" s="46" t="s">
        <v>586</v>
      </c>
      <c r="T542" s="41"/>
      <c r="U542" s="42"/>
    </row>
    <row r="543" spans="1:21" ht="9" hidden="1" customHeight="1">
      <c r="A543" s="252">
        <v>173</v>
      </c>
      <c r="B543" s="142" t="s">
        <v>833</v>
      </c>
      <c r="C543" s="46" t="s">
        <v>1126</v>
      </c>
      <c r="D543" s="119" t="s">
        <v>1125</v>
      </c>
      <c r="E543" s="145" t="s">
        <v>588</v>
      </c>
      <c r="F543" s="145" t="s">
        <v>89</v>
      </c>
      <c r="G543" s="44">
        <v>2</v>
      </c>
      <c r="H543" s="44">
        <v>2</v>
      </c>
      <c r="I543" s="144">
        <v>1257.5999999999999</v>
      </c>
      <c r="J543" s="144">
        <v>732.9</v>
      </c>
      <c r="K543" s="44">
        <v>37</v>
      </c>
      <c r="L543" s="117">
        <f>'Приложение 2 КСП 2018-2019 гг'!G545</f>
        <v>1646996</v>
      </c>
      <c r="M543" s="253">
        <v>0</v>
      </c>
      <c r="N543" s="253">
        <v>0</v>
      </c>
      <c r="O543" s="253">
        <v>0</v>
      </c>
      <c r="P543" s="253">
        <f t="shared" si="106"/>
        <v>1646996</v>
      </c>
      <c r="Q543" s="144">
        <v>0</v>
      </c>
      <c r="R543" s="144">
        <v>0</v>
      </c>
      <c r="S543" s="46" t="s">
        <v>586</v>
      </c>
      <c r="T543" s="41"/>
      <c r="U543" s="42"/>
    </row>
    <row r="544" spans="1:21" ht="9" hidden="1" customHeight="1">
      <c r="A544" s="252">
        <v>174</v>
      </c>
      <c r="B544" s="142" t="s">
        <v>834</v>
      </c>
      <c r="C544" s="46" t="s">
        <v>1126</v>
      </c>
      <c r="D544" s="119" t="s">
        <v>1125</v>
      </c>
      <c r="E544" s="145" t="s">
        <v>609</v>
      </c>
      <c r="F544" s="145" t="s">
        <v>87</v>
      </c>
      <c r="G544" s="44">
        <v>2</v>
      </c>
      <c r="H544" s="44">
        <v>2</v>
      </c>
      <c r="I544" s="144">
        <v>538</v>
      </c>
      <c r="J544" s="144">
        <v>476.9</v>
      </c>
      <c r="K544" s="44">
        <v>33</v>
      </c>
      <c r="L544" s="117">
        <f>'Приложение 2 КСП 2018-2019 гг'!G546</f>
        <v>1252320.33</v>
      </c>
      <c r="M544" s="253">
        <v>0</v>
      </c>
      <c r="N544" s="253">
        <v>0</v>
      </c>
      <c r="O544" s="253">
        <v>0</v>
      </c>
      <c r="P544" s="253">
        <f t="shared" si="106"/>
        <v>1252320.33</v>
      </c>
      <c r="Q544" s="144">
        <v>0</v>
      </c>
      <c r="R544" s="144">
        <v>0</v>
      </c>
      <c r="S544" s="46" t="s">
        <v>586</v>
      </c>
      <c r="T544" s="41"/>
      <c r="U544" s="42"/>
    </row>
    <row r="545" spans="1:21" ht="23.25" hidden="1" customHeight="1">
      <c r="A545" s="599" t="s">
        <v>268</v>
      </c>
      <c r="B545" s="599"/>
      <c r="C545" s="46"/>
      <c r="D545" s="142"/>
      <c r="E545" s="54" t="s">
        <v>387</v>
      </c>
      <c r="F545" s="54" t="s">
        <v>387</v>
      </c>
      <c r="G545" s="54" t="s">
        <v>387</v>
      </c>
      <c r="H545" s="54" t="s">
        <v>387</v>
      </c>
      <c r="I545" s="225">
        <f>SUM(I532:I544)</f>
        <v>17309.900000000001</v>
      </c>
      <c r="J545" s="225">
        <f t="shared" ref="J545:R545" si="107">SUM(J532:J544)</f>
        <v>13284.199999999999</v>
      </c>
      <c r="K545" s="47">
        <f t="shared" si="107"/>
        <v>720</v>
      </c>
      <c r="L545" s="225">
        <f t="shared" si="107"/>
        <v>25726012.629999995</v>
      </c>
      <c r="M545" s="225">
        <f t="shared" si="107"/>
        <v>0</v>
      </c>
      <c r="N545" s="225">
        <f t="shared" si="107"/>
        <v>0</v>
      </c>
      <c r="O545" s="225">
        <f t="shared" si="107"/>
        <v>0</v>
      </c>
      <c r="P545" s="225">
        <f t="shared" si="107"/>
        <v>25726012.629999995</v>
      </c>
      <c r="Q545" s="225">
        <f t="shared" si="107"/>
        <v>0</v>
      </c>
      <c r="R545" s="225">
        <f t="shared" si="107"/>
        <v>0</v>
      </c>
      <c r="S545" s="144"/>
      <c r="T545" s="143"/>
      <c r="U545" s="42"/>
    </row>
    <row r="546" spans="1:21" ht="9" hidden="1" customHeight="1">
      <c r="A546" s="504" t="s">
        <v>441</v>
      </c>
      <c r="B546" s="504"/>
      <c r="C546" s="504"/>
      <c r="D546" s="504"/>
      <c r="E546" s="504"/>
      <c r="F546" s="504"/>
      <c r="G546" s="504"/>
      <c r="H546" s="504"/>
      <c r="I546" s="504"/>
      <c r="J546" s="504"/>
      <c r="K546" s="504"/>
      <c r="L546" s="504"/>
      <c r="M546" s="504"/>
      <c r="N546" s="504"/>
      <c r="O546" s="504"/>
      <c r="P546" s="504"/>
      <c r="Q546" s="504"/>
      <c r="R546" s="504"/>
      <c r="S546" s="504"/>
      <c r="T546" s="190"/>
      <c r="U546" s="190"/>
    </row>
    <row r="547" spans="1:21" ht="9" hidden="1" customHeight="1">
      <c r="A547" s="78">
        <v>175</v>
      </c>
      <c r="B547" s="142" t="s">
        <v>841</v>
      </c>
      <c r="C547" s="46" t="s">
        <v>1126</v>
      </c>
      <c r="D547" s="119" t="s">
        <v>1125</v>
      </c>
      <c r="E547" s="145" t="s">
        <v>296</v>
      </c>
      <c r="F547" s="145" t="s">
        <v>89</v>
      </c>
      <c r="G547" s="44">
        <v>3</v>
      </c>
      <c r="H547" s="44">
        <v>3</v>
      </c>
      <c r="I547" s="144">
        <v>1476.6</v>
      </c>
      <c r="J547" s="144">
        <v>1332.3</v>
      </c>
      <c r="K547" s="80">
        <v>7</v>
      </c>
      <c r="L547" s="117">
        <f>'Приложение 2 КСП 2018-2019 гг'!G549</f>
        <v>2037420</v>
      </c>
      <c r="M547" s="253">
        <v>0</v>
      </c>
      <c r="N547" s="253">
        <v>0</v>
      </c>
      <c r="O547" s="253">
        <v>0</v>
      </c>
      <c r="P547" s="253">
        <f t="shared" ref="P547" si="108">L547</f>
        <v>2037420</v>
      </c>
      <c r="Q547" s="253">
        <v>0</v>
      </c>
      <c r="R547" s="144">
        <v>0</v>
      </c>
      <c r="S547" s="46" t="s">
        <v>586</v>
      </c>
      <c r="T547" s="41"/>
      <c r="U547" s="42"/>
    </row>
    <row r="548" spans="1:21" ht="34.5" hidden="1" customHeight="1">
      <c r="A548" s="606" t="s">
        <v>442</v>
      </c>
      <c r="B548" s="606"/>
      <c r="C548" s="86"/>
      <c r="D548" s="147"/>
      <c r="E548" s="78" t="s">
        <v>387</v>
      </c>
      <c r="F548" s="78" t="s">
        <v>387</v>
      </c>
      <c r="G548" s="78" t="s">
        <v>387</v>
      </c>
      <c r="H548" s="78" t="s">
        <v>387</v>
      </c>
      <c r="I548" s="79">
        <f>SUM(I547)</f>
        <v>1476.6</v>
      </c>
      <c r="J548" s="79">
        <f t="shared" ref="J548:R548" si="109">SUM(J547)</f>
        <v>1332.3</v>
      </c>
      <c r="K548" s="80">
        <f t="shared" si="109"/>
        <v>7</v>
      </c>
      <c r="L548" s="79">
        <f t="shared" si="109"/>
        <v>2037420</v>
      </c>
      <c r="M548" s="79">
        <f t="shared" si="109"/>
        <v>0</v>
      </c>
      <c r="N548" s="79">
        <f t="shared" si="109"/>
        <v>0</v>
      </c>
      <c r="O548" s="79">
        <f t="shared" si="109"/>
        <v>0</v>
      </c>
      <c r="P548" s="79">
        <f t="shared" si="109"/>
        <v>2037420</v>
      </c>
      <c r="Q548" s="79">
        <f t="shared" si="109"/>
        <v>0</v>
      </c>
      <c r="R548" s="79">
        <f t="shared" si="109"/>
        <v>0</v>
      </c>
      <c r="S548" s="144"/>
      <c r="T548" s="41"/>
      <c r="U548" s="163"/>
    </row>
    <row r="549" spans="1:21" ht="9" hidden="1" customHeight="1">
      <c r="A549" s="504" t="s">
        <v>393</v>
      </c>
      <c r="B549" s="504"/>
      <c r="C549" s="504"/>
      <c r="D549" s="504"/>
      <c r="E549" s="504"/>
      <c r="F549" s="504"/>
      <c r="G549" s="504"/>
      <c r="H549" s="504"/>
      <c r="I549" s="504"/>
      <c r="J549" s="504"/>
      <c r="K549" s="504"/>
      <c r="L549" s="504"/>
      <c r="M549" s="504"/>
      <c r="N549" s="504"/>
      <c r="O549" s="504"/>
      <c r="P549" s="504"/>
      <c r="Q549" s="504"/>
      <c r="R549" s="504"/>
      <c r="S549" s="504"/>
      <c r="T549" s="190"/>
      <c r="U549" s="190"/>
    </row>
    <row r="550" spans="1:21" ht="9" hidden="1" customHeight="1">
      <c r="A550" s="78">
        <v>176</v>
      </c>
      <c r="B550" s="142" t="s">
        <v>842</v>
      </c>
      <c r="C550" s="46" t="s">
        <v>1126</v>
      </c>
      <c r="D550" s="119" t="s">
        <v>1125</v>
      </c>
      <c r="E550" s="145" t="s">
        <v>610</v>
      </c>
      <c r="F550" s="145" t="s">
        <v>89</v>
      </c>
      <c r="G550" s="44">
        <v>2</v>
      </c>
      <c r="H550" s="44">
        <v>2</v>
      </c>
      <c r="I550" s="144">
        <v>1004.4</v>
      </c>
      <c r="J550" s="144">
        <v>887.8</v>
      </c>
      <c r="K550" s="44">
        <v>8</v>
      </c>
      <c r="L550" s="117">
        <f>'Приложение 2 КСП 2018-2019 гг'!G552</f>
        <v>1400280</v>
      </c>
      <c r="M550" s="253">
        <v>0</v>
      </c>
      <c r="N550" s="253">
        <v>0</v>
      </c>
      <c r="O550" s="253">
        <v>0</v>
      </c>
      <c r="P550" s="253">
        <f t="shared" ref="P550:P551" si="110">L550</f>
        <v>1400280</v>
      </c>
      <c r="Q550" s="253">
        <v>0</v>
      </c>
      <c r="R550" s="144">
        <v>0</v>
      </c>
      <c r="S550" s="46" t="s">
        <v>586</v>
      </c>
      <c r="T550" s="41"/>
      <c r="U550" s="42"/>
    </row>
    <row r="551" spans="1:21" ht="9" hidden="1" customHeight="1">
      <c r="A551" s="78">
        <v>177</v>
      </c>
      <c r="B551" s="142" t="s">
        <v>843</v>
      </c>
      <c r="C551" s="46" t="s">
        <v>1126</v>
      </c>
      <c r="D551" s="119" t="s">
        <v>1125</v>
      </c>
      <c r="E551" s="145" t="s">
        <v>596</v>
      </c>
      <c r="F551" s="145" t="s">
        <v>89</v>
      </c>
      <c r="G551" s="44">
        <v>2</v>
      </c>
      <c r="H551" s="44">
        <v>2</v>
      </c>
      <c r="I551" s="144">
        <v>647.4</v>
      </c>
      <c r="J551" s="144">
        <v>581.79999999999995</v>
      </c>
      <c r="K551" s="44">
        <v>8</v>
      </c>
      <c r="L551" s="117">
        <f>'Приложение 2 КСП 2018-2019 гг'!G553</f>
        <v>1400280</v>
      </c>
      <c r="M551" s="253">
        <v>0</v>
      </c>
      <c r="N551" s="253">
        <v>0</v>
      </c>
      <c r="O551" s="253">
        <v>0</v>
      </c>
      <c r="P551" s="253">
        <f t="shared" si="110"/>
        <v>1400280</v>
      </c>
      <c r="Q551" s="253">
        <v>0</v>
      </c>
      <c r="R551" s="144">
        <v>0</v>
      </c>
      <c r="S551" s="46" t="s">
        <v>586</v>
      </c>
      <c r="T551" s="41"/>
      <c r="U551" s="42"/>
    </row>
    <row r="552" spans="1:21" ht="24.75" hidden="1" customHeight="1">
      <c r="A552" s="606" t="s">
        <v>394</v>
      </c>
      <c r="B552" s="606"/>
      <c r="C552" s="86"/>
      <c r="D552" s="78"/>
      <c r="E552" s="78" t="s">
        <v>387</v>
      </c>
      <c r="F552" s="78" t="s">
        <v>387</v>
      </c>
      <c r="G552" s="78" t="s">
        <v>387</v>
      </c>
      <c r="H552" s="78" t="s">
        <v>387</v>
      </c>
      <c r="I552" s="79">
        <f>SUM(I550:I551)</f>
        <v>1651.8</v>
      </c>
      <c r="J552" s="79">
        <f t="shared" ref="J552:R552" si="111">SUM(J550:J551)</f>
        <v>1469.6</v>
      </c>
      <c r="K552" s="80">
        <f t="shared" si="111"/>
        <v>16</v>
      </c>
      <c r="L552" s="79">
        <f t="shared" si="111"/>
        <v>2800560</v>
      </c>
      <c r="M552" s="79">
        <f t="shared" si="111"/>
        <v>0</v>
      </c>
      <c r="N552" s="79">
        <f t="shared" si="111"/>
        <v>0</v>
      </c>
      <c r="O552" s="79">
        <f t="shared" si="111"/>
        <v>0</v>
      </c>
      <c r="P552" s="79">
        <f t="shared" si="111"/>
        <v>2800560</v>
      </c>
      <c r="Q552" s="79">
        <f t="shared" si="111"/>
        <v>0</v>
      </c>
      <c r="R552" s="79">
        <f t="shared" si="111"/>
        <v>0</v>
      </c>
      <c r="S552" s="144"/>
      <c r="T552" s="41"/>
      <c r="U552" s="163"/>
    </row>
    <row r="553" spans="1:21" ht="9" hidden="1" customHeight="1">
      <c r="A553" s="502" t="s">
        <v>438</v>
      </c>
      <c r="B553" s="502"/>
      <c r="C553" s="502"/>
      <c r="D553" s="502"/>
      <c r="E553" s="502"/>
      <c r="F553" s="502"/>
      <c r="G553" s="502"/>
      <c r="H553" s="502"/>
      <c r="I553" s="502"/>
      <c r="J553" s="502"/>
      <c r="K553" s="502"/>
      <c r="L553" s="502"/>
      <c r="M553" s="502"/>
      <c r="N553" s="502"/>
      <c r="O553" s="502"/>
      <c r="P553" s="502"/>
      <c r="Q553" s="502"/>
      <c r="R553" s="502"/>
      <c r="S553" s="502"/>
      <c r="T553" s="162"/>
      <c r="U553" s="162"/>
    </row>
    <row r="554" spans="1:21" ht="9" hidden="1" customHeight="1">
      <c r="A554" s="145">
        <v>178</v>
      </c>
      <c r="B554" s="142" t="s">
        <v>844</v>
      </c>
      <c r="C554" s="46" t="s">
        <v>1126</v>
      </c>
      <c r="D554" s="119" t="s">
        <v>1125</v>
      </c>
      <c r="E554" s="145" t="s">
        <v>742</v>
      </c>
      <c r="F554" s="145" t="s">
        <v>87</v>
      </c>
      <c r="G554" s="44">
        <v>3</v>
      </c>
      <c r="H554" s="44">
        <v>3</v>
      </c>
      <c r="I554" s="144">
        <v>2049.8000000000002</v>
      </c>
      <c r="J554" s="144">
        <v>1538.2</v>
      </c>
      <c r="K554" s="44">
        <v>18</v>
      </c>
      <c r="L554" s="117">
        <f>'Приложение 2 КСП 2018-2019 гг'!G556</f>
        <v>1157975.58</v>
      </c>
      <c r="M554" s="253">
        <v>0</v>
      </c>
      <c r="N554" s="253">
        <v>0</v>
      </c>
      <c r="O554" s="253">
        <v>0</v>
      </c>
      <c r="P554" s="253">
        <f t="shared" ref="P554:P555" si="112">L554</f>
        <v>1157975.58</v>
      </c>
      <c r="Q554" s="253">
        <v>0</v>
      </c>
      <c r="R554" s="144">
        <v>0</v>
      </c>
      <c r="S554" s="46" t="s">
        <v>586</v>
      </c>
      <c r="T554" s="41"/>
      <c r="U554" s="42"/>
    </row>
    <row r="555" spans="1:21" ht="9" hidden="1" customHeight="1">
      <c r="A555" s="145">
        <v>179</v>
      </c>
      <c r="B555" s="142" t="s">
        <v>845</v>
      </c>
      <c r="C555" s="46" t="s">
        <v>1126</v>
      </c>
      <c r="D555" s="119" t="s">
        <v>1125</v>
      </c>
      <c r="E555" s="145" t="s">
        <v>595</v>
      </c>
      <c r="F555" s="145" t="s">
        <v>87</v>
      </c>
      <c r="G555" s="44">
        <v>3</v>
      </c>
      <c r="H555" s="44">
        <v>3</v>
      </c>
      <c r="I555" s="144">
        <v>1670.6</v>
      </c>
      <c r="J555" s="144">
        <v>1223.42</v>
      </c>
      <c r="K555" s="44">
        <v>14</v>
      </c>
      <c r="L555" s="117">
        <f>'Приложение 2 КСП 2018-2019 гг'!G557</f>
        <v>269152.40000000002</v>
      </c>
      <c r="M555" s="253">
        <v>0</v>
      </c>
      <c r="N555" s="253">
        <v>0</v>
      </c>
      <c r="O555" s="253">
        <v>0</v>
      </c>
      <c r="P555" s="253">
        <f t="shared" si="112"/>
        <v>269152.40000000002</v>
      </c>
      <c r="Q555" s="253">
        <v>0</v>
      </c>
      <c r="R555" s="144">
        <v>0</v>
      </c>
      <c r="S555" s="46" t="s">
        <v>586</v>
      </c>
      <c r="T555" s="41"/>
      <c r="U555" s="42"/>
    </row>
    <row r="556" spans="1:21" ht="24.75" hidden="1" customHeight="1">
      <c r="A556" s="599" t="s">
        <v>439</v>
      </c>
      <c r="B556" s="599"/>
      <c r="C556" s="46"/>
      <c r="D556" s="142"/>
      <c r="E556" s="145" t="s">
        <v>387</v>
      </c>
      <c r="F556" s="145" t="s">
        <v>387</v>
      </c>
      <c r="G556" s="145" t="s">
        <v>387</v>
      </c>
      <c r="H556" s="145" t="s">
        <v>387</v>
      </c>
      <c r="I556" s="253">
        <f>SUM(I554:I555)</f>
        <v>3720.4</v>
      </c>
      <c r="J556" s="253">
        <f t="shared" ref="J556:R556" si="113">SUM(J554:J555)</f>
        <v>2761.62</v>
      </c>
      <c r="K556" s="45">
        <f t="shared" si="113"/>
        <v>32</v>
      </c>
      <c r="L556" s="253">
        <f t="shared" si="113"/>
        <v>1427127.98</v>
      </c>
      <c r="M556" s="253">
        <f t="shared" si="113"/>
        <v>0</v>
      </c>
      <c r="N556" s="253">
        <f t="shared" si="113"/>
        <v>0</v>
      </c>
      <c r="O556" s="253">
        <f t="shared" si="113"/>
        <v>0</v>
      </c>
      <c r="P556" s="253">
        <f t="shared" si="113"/>
        <v>1427127.98</v>
      </c>
      <c r="Q556" s="253">
        <f t="shared" si="113"/>
        <v>0</v>
      </c>
      <c r="R556" s="253">
        <f t="shared" si="113"/>
        <v>0</v>
      </c>
      <c r="S556" s="144"/>
      <c r="T556" s="41"/>
      <c r="U556" s="42"/>
    </row>
    <row r="557" spans="1:21" ht="9" hidden="1" customHeight="1">
      <c r="A557" s="502" t="s">
        <v>850</v>
      </c>
      <c r="B557" s="502"/>
      <c r="C557" s="502"/>
      <c r="D557" s="502"/>
      <c r="E557" s="502"/>
      <c r="F557" s="502"/>
      <c r="G557" s="502"/>
      <c r="H557" s="502"/>
      <c r="I557" s="502"/>
      <c r="J557" s="502"/>
      <c r="K557" s="502"/>
      <c r="L557" s="502"/>
      <c r="M557" s="502"/>
      <c r="N557" s="502"/>
      <c r="O557" s="502"/>
      <c r="P557" s="502"/>
      <c r="Q557" s="502"/>
      <c r="R557" s="502"/>
      <c r="S557" s="502"/>
      <c r="T557" s="162"/>
      <c r="U557" s="162"/>
    </row>
    <row r="558" spans="1:21" ht="9" hidden="1" customHeight="1">
      <c r="A558" s="145">
        <v>180</v>
      </c>
      <c r="B558" s="142" t="s">
        <v>846</v>
      </c>
      <c r="C558" s="46" t="s">
        <v>1126</v>
      </c>
      <c r="D558" s="119" t="s">
        <v>1125</v>
      </c>
      <c r="E558" s="145" t="s">
        <v>610</v>
      </c>
      <c r="F558" s="145" t="s">
        <v>87</v>
      </c>
      <c r="G558" s="44">
        <v>2</v>
      </c>
      <c r="H558" s="44">
        <v>3</v>
      </c>
      <c r="I558" s="144">
        <v>939.58</v>
      </c>
      <c r="J558" s="144">
        <v>858.98</v>
      </c>
      <c r="K558" s="44">
        <v>10</v>
      </c>
      <c r="L558" s="117">
        <f>'Приложение 2 КСП 2018-2019 гг'!G560</f>
        <v>537687.12</v>
      </c>
      <c r="M558" s="253">
        <v>0</v>
      </c>
      <c r="N558" s="253">
        <v>0</v>
      </c>
      <c r="O558" s="253">
        <v>0</v>
      </c>
      <c r="P558" s="253">
        <f t="shared" ref="P558:P561" si="114">L558</f>
        <v>537687.12</v>
      </c>
      <c r="Q558" s="253">
        <v>0</v>
      </c>
      <c r="R558" s="144">
        <v>0</v>
      </c>
      <c r="S558" s="46" t="s">
        <v>586</v>
      </c>
      <c r="T558" s="41"/>
      <c r="U558" s="42"/>
    </row>
    <row r="559" spans="1:21" ht="9" hidden="1" customHeight="1">
      <c r="A559" s="145">
        <v>181</v>
      </c>
      <c r="B559" s="142" t="s">
        <v>847</v>
      </c>
      <c r="C559" s="46" t="s">
        <v>1126</v>
      </c>
      <c r="D559" s="119" t="s">
        <v>1125</v>
      </c>
      <c r="E559" s="145" t="s">
        <v>601</v>
      </c>
      <c r="F559" s="145" t="s">
        <v>89</v>
      </c>
      <c r="G559" s="44">
        <v>2</v>
      </c>
      <c r="H559" s="44">
        <v>2</v>
      </c>
      <c r="I559" s="144">
        <v>672.75</v>
      </c>
      <c r="J559" s="144">
        <v>596.15</v>
      </c>
      <c r="K559" s="44">
        <v>30</v>
      </c>
      <c r="L559" s="117">
        <f>'Приложение 2 КСП 2018-2019 гг'!G561</f>
        <v>373166.06</v>
      </c>
      <c r="M559" s="253">
        <v>0</v>
      </c>
      <c r="N559" s="253">
        <v>0</v>
      </c>
      <c r="O559" s="253">
        <v>0</v>
      </c>
      <c r="P559" s="253">
        <f t="shared" si="114"/>
        <v>373166.06</v>
      </c>
      <c r="Q559" s="253">
        <v>0</v>
      </c>
      <c r="R559" s="144">
        <v>0</v>
      </c>
      <c r="S559" s="46" t="s">
        <v>586</v>
      </c>
      <c r="T559" s="41"/>
      <c r="U559" s="42"/>
    </row>
    <row r="560" spans="1:21" ht="9" hidden="1" customHeight="1">
      <c r="A560" s="252">
        <v>182</v>
      </c>
      <c r="B560" s="142" t="s">
        <v>848</v>
      </c>
      <c r="C560" s="46" t="s">
        <v>1126</v>
      </c>
      <c r="D560" s="119" t="s">
        <v>1125</v>
      </c>
      <c r="E560" s="145" t="s">
        <v>601</v>
      </c>
      <c r="F560" s="145" t="s">
        <v>89</v>
      </c>
      <c r="G560" s="44">
        <v>2</v>
      </c>
      <c r="H560" s="44">
        <v>2</v>
      </c>
      <c r="I560" s="144">
        <v>666.96</v>
      </c>
      <c r="J560" s="144">
        <v>590.36</v>
      </c>
      <c r="K560" s="44">
        <v>13</v>
      </c>
      <c r="L560" s="117">
        <f>'Приложение 2 КСП 2018-2019 гг'!G562</f>
        <v>369541.75</v>
      </c>
      <c r="M560" s="253">
        <v>0</v>
      </c>
      <c r="N560" s="253">
        <v>0</v>
      </c>
      <c r="O560" s="253">
        <v>0</v>
      </c>
      <c r="P560" s="253">
        <f t="shared" si="114"/>
        <v>369541.75</v>
      </c>
      <c r="Q560" s="253">
        <v>0</v>
      </c>
      <c r="R560" s="144">
        <v>0</v>
      </c>
      <c r="S560" s="46" t="s">
        <v>586</v>
      </c>
      <c r="T560" s="41"/>
      <c r="U560" s="42"/>
    </row>
    <row r="561" spans="1:21" ht="9" hidden="1" customHeight="1">
      <c r="A561" s="252">
        <v>183</v>
      </c>
      <c r="B561" s="142" t="s">
        <v>849</v>
      </c>
      <c r="C561" s="46" t="s">
        <v>1126</v>
      </c>
      <c r="D561" s="119" t="s">
        <v>1125</v>
      </c>
      <c r="E561" s="145" t="s">
        <v>822</v>
      </c>
      <c r="F561" s="145" t="s">
        <v>89</v>
      </c>
      <c r="G561" s="44">
        <v>2</v>
      </c>
      <c r="H561" s="44">
        <v>2</v>
      </c>
      <c r="I561" s="144">
        <v>650.49</v>
      </c>
      <c r="J561" s="144">
        <v>585.69000000000005</v>
      </c>
      <c r="K561" s="44">
        <v>39</v>
      </c>
      <c r="L561" s="117">
        <f>'Приложение 2 КСП 2018-2019 гг'!G563</f>
        <v>366618.51</v>
      </c>
      <c r="M561" s="253">
        <v>0</v>
      </c>
      <c r="N561" s="253">
        <v>0</v>
      </c>
      <c r="O561" s="253">
        <v>0</v>
      </c>
      <c r="P561" s="253">
        <f t="shared" si="114"/>
        <v>366618.51</v>
      </c>
      <c r="Q561" s="253">
        <v>0</v>
      </c>
      <c r="R561" s="144">
        <v>0</v>
      </c>
      <c r="S561" s="46" t="s">
        <v>586</v>
      </c>
      <c r="T561" s="41"/>
      <c r="U561" s="42"/>
    </row>
    <row r="562" spans="1:21" ht="35.25" hidden="1" customHeight="1">
      <c r="A562" s="599" t="s">
        <v>1123</v>
      </c>
      <c r="B562" s="599"/>
      <c r="C562" s="46"/>
      <c r="D562" s="145"/>
      <c r="E562" s="145" t="s">
        <v>387</v>
      </c>
      <c r="F562" s="145" t="s">
        <v>387</v>
      </c>
      <c r="G562" s="145" t="s">
        <v>387</v>
      </c>
      <c r="H562" s="145" t="s">
        <v>387</v>
      </c>
      <c r="I562" s="253">
        <f>SUM(I558:I561)</f>
        <v>2929.7799999999997</v>
      </c>
      <c r="J562" s="253">
        <f t="shared" ref="J562:R562" si="115">SUM(J558:J561)</f>
        <v>2631.1800000000003</v>
      </c>
      <c r="K562" s="45">
        <f t="shared" si="115"/>
        <v>92</v>
      </c>
      <c r="L562" s="253">
        <f t="shared" si="115"/>
        <v>1647013.44</v>
      </c>
      <c r="M562" s="253">
        <f t="shared" si="115"/>
        <v>0</v>
      </c>
      <c r="N562" s="253">
        <f t="shared" si="115"/>
        <v>0</v>
      </c>
      <c r="O562" s="253">
        <f t="shared" si="115"/>
        <v>0</v>
      </c>
      <c r="P562" s="253">
        <f t="shared" si="115"/>
        <v>1647013.44</v>
      </c>
      <c r="Q562" s="253">
        <f t="shared" si="115"/>
        <v>0</v>
      </c>
      <c r="R562" s="253">
        <f t="shared" si="115"/>
        <v>0</v>
      </c>
      <c r="S562" s="144"/>
      <c r="T562" s="41"/>
      <c r="U562" s="42"/>
    </row>
    <row r="563" spans="1:21" ht="9" hidden="1" customHeight="1">
      <c r="A563" s="504" t="s">
        <v>431</v>
      </c>
      <c r="B563" s="504"/>
      <c r="C563" s="504"/>
      <c r="D563" s="504"/>
      <c r="E563" s="504"/>
      <c r="F563" s="504"/>
      <c r="G563" s="504"/>
      <c r="H563" s="504"/>
      <c r="I563" s="504"/>
      <c r="J563" s="504"/>
      <c r="K563" s="504"/>
      <c r="L563" s="504"/>
      <c r="M563" s="504"/>
      <c r="N563" s="504"/>
      <c r="O563" s="504"/>
      <c r="P563" s="504"/>
      <c r="Q563" s="504"/>
      <c r="R563" s="504"/>
      <c r="S563" s="504"/>
      <c r="T563" s="190"/>
      <c r="U563" s="190"/>
    </row>
    <row r="564" spans="1:21" ht="9" hidden="1" customHeight="1">
      <c r="A564" s="78">
        <v>184</v>
      </c>
      <c r="B564" s="142" t="s">
        <v>853</v>
      </c>
      <c r="C564" s="46" t="s">
        <v>1126</v>
      </c>
      <c r="D564" s="119" t="s">
        <v>1125</v>
      </c>
      <c r="E564" s="145" t="s">
        <v>0</v>
      </c>
      <c r="F564" s="145" t="s">
        <v>87</v>
      </c>
      <c r="G564" s="44">
        <v>2</v>
      </c>
      <c r="H564" s="44">
        <v>1</v>
      </c>
      <c r="I564" s="144">
        <v>510.7</v>
      </c>
      <c r="J564" s="144">
        <v>424.1</v>
      </c>
      <c r="K564" s="44">
        <v>20</v>
      </c>
      <c r="L564" s="117">
        <f>'Приложение 2 КСП 2018-2019 гг'!G566</f>
        <v>1513512</v>
      </c>
      <c r="M564" s="253">
        <v>0</v>
      </c>
      <c r="N564" s="253">
        <v>0</v>
      </c>
      <c r="O564" s="253">
        <v>0</v>
      </c>
      <c r="P564" s="253">
        <f t="shared" ref="P564:P565" si="116">L564</f>
        <v>1513512</v>
      </c>
      <c r="Q564" s="253">
        <v>0</v>
      </c>
      <c r="R564" s="144">
        <v>0</v>
      </c>
      <c r="S564" s="46" t="s">
        <v>586</v>
      </c>
      <c r="T564" s="41"/>
      <c r="U564" s="42"/>
    </row>
    <row r="565" spans="1:21" ht="9" hidden="1" customHeight="1">
      <c r="A565" s="78">
        <v>185</v>
      </c>
      <c r="B565" s="142" t="s">
        <v>854</v>
      </c>
      <c r="C565" s="46" t="s">
        <v>1126</v>
      </c>
      <c r="D565" s="119" t="s">
        <v>1125</v>
      </c>
      <c r="E565" s="145" t="s">
        <v>587</v>
      </c>
      <c r="F565" s="145" t="s">
        <v>87</v>
      </c>
      <c r="G565" s="44">
        <v>2</v>
      </c>
      <c r="H565" s="44">
        <v>2</v>
      </c>
      <c r="I565" s="144">
        <v>534.20000000000005</v>
      </c>
      <c r="J565" s="144">
        <v>488.2</v>
      </c>
      <c r="K565" s="44">
        <v>20</v>
      </c>
      <c r="L565" s="117">
        <f>'Приложение 2 КСП 2018-2019 гг'!G567</f>
        <v>1752828</v>
      </c>
      <c r="M565" s="253">
        <v>0</v>
      </c>
      <c r="N565" s="253">
        <v>0</v>
      </c>
      <c r="O565" s="253">
        <v>0</v>
      </c>
      <c r="P565" s="253">
        <f t="shared" si="116"/>
        <v>1752828</v>
      </c>
      <c r="Q565" s="253">
        <v>0</v>
      </c>
      <c r="R565" s="144">
        <v>0</v>
      </c>
      <c r="S565" s="46" t="s">
        <v>586</v>
      </c>
      <c r="T565" s="41"/>
      <c r="U565" s="42"/>
    </row>
    <row r="566" spans="1:21" ht="24.75" hidden="1" customHeight="1">
      <c r="A566" s="599" t="s">
        <v>432</v>
      </c>
      <c r="B566" s="599"/>
      <c r="C566" s="46"/>
      <c r="D566" s="142"/>
      <c r="E566" s="78" t="s">
        <v>387</v>
      </c>
      <c r="F566" s="78" t="s">
        <v>387</v>
      </c>
      <c r="G566" s="78" t="s">
        <v>387</v>
      </c>
      <c r="H566" s="78" t="s">
        <v>387</v>
      </c>
      <c r="I566" s="79">
        <f>SUM(I564:I565)</f>
        <v>1044.9000000000001</v>
      </c>
      <c r="J566" s="79">
        <f t="shared" ref="J566:R566" si="117">SUM(J564:J565)</f>
        <v>912.3</v>
      </c>
      <c r="K566" s="80">
        <f t="shared" si="117"/>
        <v>40</v>
      </c>
      <c r="L566" s="79">
        <f t="shared" si="117"/>
        <v>3266340</v>
      </c>
      <c r="M566" s="79">
        <f t="shared" si="117"/>
        <v>0</v>
      </c>
      <c r="N566" s="79">
        <f t="shared" si="117"/>
        <v>0</v>
      </c>
      <c r="O566" s="79">
        <f t="shared" si="117"/>
        <v>0</v>
      </c>
      <c r="P566" s="79">
        <f t="shared" si="117"/>
        <v>3266340</v>
      </c>
      <c r="Q566" s="79">
        <f t="shared" si="117"/>
        <v>0</v>
      </c>
      <c r="R566" s="79">
        <f t="shared" si="117"/>
        <v>0</v>
      </c>
      <c r="S566" s="144"/>
      <c r="T566" s="41"/>
      <c r="U566" s="163"/>
    </row>
    <row r="567" spans="1:21" ht="9" hidden="1" customHeight="1">
      <c r="A567" s="502" t="s">
        <v>1070</v>
      </c>
      <c r="B567" s="502"/>
      <c r="C567" s="502"/>
      <c r="D567" s="502"/>
      <c r="E567" s="502"/>
      <c r="F567" s="502"/>
      <c r="G567" s="502"/>
      <c r="H567" s="502"/>
      <c r="I567" s="502"/>
      <c r="J567" s="502"/>
      <c r="K567" s="502"/>
      <c r="L567" s="502"/>
      <c r="M567" s="502"/>
      <c r="N567" s="502"/>
      <c r="O567" s="502"/>
      <c r="P567" s="502"/>
      <c r="Q567" s="502"/>
      <c r="R567" s="502"/>
      <c r="S567" s="502"/>
      <c r="T567" s="162"/>
      <c r="U567" s="162"/>
    </row>
    <row r="568" spans="1:21" ht="9" hidden="1" customHeight="1">
      <c r="A568" s="145">
        <v>186</v>
      </c>
      <c r="B568" s="142" t="s">
        <v>881</v>
      </c>
      <c r="C568" s="46" t="s">
        <v>1126</v>
      </c>
      <c r="D568" s="119" t="s">
        <v>1125</v>
      </c>
      <c r="E568" s="145" t="s">
        <v>601</v>
      </c>
      <c r="F568" s="145" t="s">
        <v>616</v>
      </c>
      <c r="G568" s="44">
        <v>5</v>
      </c>
      <c r="H568" s="44">
        <v>13</v>
      </c>
      <c r="I568" s="144">
        <v>9951</v>
      </c>
      <c r="J568" s="144">
        <v>8774</v>
      </c>
      <c r="K568" s="145">
        <v>637</v>
      </c>
      <c r="L568" s="117">
        <f>'Приложение 2 КСП 2018-2019 гг'!G570</f>
        <v>7967926.5999999996</v>
      </c>
      <c r="M568" s="253">
        <v>0</v>
      </c>
      <c r="N568" s="253">
        <v>0</v>
      </c>
      <c r="O568" s="253">
        <v>0</v>
      </c>
      <c r="P568" s="253">
        <f t="shared" ref="P568" si="118">L568</f>
        <v>7967926.5999999996</v>
      </c>
      <c r="Q568" s="253">
        <v>0</v>
      </c>
      <c r="R568" s="144">
        <v>0</v>
      </c>
      <c r="S568" s="46" t="s">
        <v>586</v>
      </c>
      <c r="T568" s="41"/>
      <c r="U568" s="42"/>
    </row>
    <row r="569" spans="1:21" ht="33.75" hidden="1" customHeight="1">
      <c r="A569" s="599" t="s">
        <v>1071</v>
      </c>
      <c r="B569" s="599"/>
      <c r="C569" s="46"/>
      <c r="D569" s="142"/>
      <c r="E569" s="145" t="s">
        <v>387</v>
      </c>
      <c r="F569" s="145" t="s">
        <v>387</v>
      </c>
      <c r="G569" s="145" t="s">
        <v>387</v>
      </c>
      <c r="H569" s="145" t="s">
        <v>387</v>
      </c>
      <c r="I569" s="253">
        <f>SUM(I568)</f>
        <v>9951</v>
      </c>
      <c r="J569" s="253">
        <f t="shared" ref="J569:R569" si="119">SUM(J568)</f>
        <v>8774</v>
      </c>
      <c r="K569" s="45">
        <f t="shared" si="119"/>
        <v>637</v>
      </c>
      <c r="L569" s="253">
        <f t="shared" si="119"/>
        <v>7967926.5999999996</v>
      </c>
      <c r="M569" s="253">
        <f t="shared" si="119"/>
        <v>0</v>
      </c>
      <c r="N569" s="253">
        <f t="shared" si="119"/>
        <v>0</v>
      </c>
      <c r="O569" s="253">
        <f t="shared" si="119"/>
        <v>0</v>
      </c>
      <c r="P569" s="253">
        <f t="shared" si="119"/>
        <v>7967926.5999999996</v>
      </c>
      <c r="Q569" s="253">
        <f t="shared" si="119"/>
        <v>0</v>
      </c>
      <c r="R569" s="253">
        <f t="shared" si="119"/>
        <v>0</v>
      </c>
      <c r="S569" s="144"/>
      <c r="T569" s="41"/>
      <c r="U569" s="172"/>
    </row>
    <row r="570" spans="1:21" ht="9" hidden="1" customHeight="1">
      <c r="A570" s="502" t="s">
        <v>302</v>
      </c>
      <c r="B570" s="502"/>
      <c r="C570" s="502"/>
      <c r="D570" s="502"/>
      <c r="E570" s="502"/>
      <c r="F570" s="502"/>
      <c r="G570" s="502"/>
      <c r="H570" s="502"/>
      <c r="I570" s="502"/>
      <c r="J570" s="502"/>
      <c r="K570" s="502"/>
      <c r="L570" s="502"/>
      <c r="M570" s="502"/>
      <c r="N570" s="502"/>
      <c r="O570" s="502"/>
      <c r="P570" s="502"/>
      <c r="Q570" s="502"/>
      <c r="R570" s="502"/>
      <c r="S570" s="502"/>
      <c r="T570" s="162"/>
      <c r="U570" s="162"/>
    </row>
    <row r="571" spans="1:21" ht="9" hidden="1" customHeight="1">
      <c r="A571" s="145">
        <v>187</v>
      </c>
      <c r="B571" s="142" t="s">
        <v>882</v>
      </c>
      <c r="C571" s="46" t="s">
        <v>1126</v>
      </c>
      <c r="D571" s="119" t="s">
        <v>1125</v>
      </c>
      <c r="E571" s="145" t="s">
        <v>587</v>
      </c>
      <c r="F571" s="145" t="s">
        <v>87</v>
      </c>
      <c r="G571" s="44">
        <v>2</v>
      </c>
      <c r="H571" s="44">
        <v>2</v>
      </c>
      <c r="I571" s="144">
        <v>613.1</v>
      </c>
      <c r="J571" s="144">
        <v>602.1</v>
      </c>
      <c r="K571" s="145">
        <v>29</v>
      </c>
      <c r="L571" s="117">
        <f>'Приложение 2 КСП 2018-2019 гг'!G573</f>
        <v>1734588.24</v>
      </c>
      <c r="M571" s="253">
        <v>0</v>
      </c>
      <c r="N571" s="253">
        <v>0</v>
      </c>
      <c r="O571" s="253">
        <v>0</v>
      </c>
      <c r="P571" s="253">
        <f t="shared" ref="P571" si="120">L571</f>
        <v>1734588.24</v>
      </c>
      <c r="Q571" s="253">
        <v>0</v>
      </c>
      <c r="R571" s="144">
        <v>0</v>
      </c>
      <c r="S571" s="46" t="s">
        <v>586</v>
      </c>
      <c r="T571" s="41"/>
      <c r="U571" s="42"/>
    </row>
    <row r="572" spans="1:21" ht="35.25" hidden="1" customHeight="1">
      <c r="A572" s="599" t="s">
        <v>297</v>
      </c>
      <c r="B572" s="599"/>
      <c r="C572" s="46"/>
      <c r="D572" s="142"/>
      <c r="E572" s="145" t="s">
        <v>387</v>
      </c>
      <c r="F572" s="145" t="s">
        <v>387</v>
      </c>
      <c r="G572" s="145" t="s">
        <v>387</v>
      </c>
      <c r="H572" s="145" t="s">
        <v>387</v>
      </c>
      <c r="I572" s="253">
        <f>SUM(I571)</f>
        <v>613.1</v>
      </c>
      <c r="J572" s="253">
        <f t="shared" ref="J572:R572" si="121">SUM(J571)</f>
        <v>602.1</v>
      </c>
      <c r="K572" s="45">
        <f t="shared" si="121"/>
        <v>29</v>
      </c>
      <c r="L572" s="253">
        <f t="shared" si="121"/>
        <v>1734588.24</v>
      </c>
      <c r="M572" s="253">
        <f t="shared" si="121"/>
        <v>0</v>
      </c>
      <c r="N572" s="253">
        <f t="shared" si="121"/>
        <v>0</v>
      </c>
      <c r="O572" s="253">
        <f t="shared" si="121"/>
        <v>0</v>
      </c>
      <c r="P572" s="253">
        <f t="shared" si="121"/>
        <v>1734588.24</v>
      </c>
      <c r="Q572" s="253">
        <f t="shared" si="121"/>
        <v>0</v>
      </c>
      <c r="R572" s="253">
        <f t="shared" si="121"/>
        <v>0</v>
      </c>
      <c r="S572" s="144"/>
      <c r="T572" s="143"/>
      <c r="U572" s="42"/>
    </row>
    <row r="573" spans="1:21" ht="9" hidden="1" customHeight="1">
      <c r="A573" s="502" t="s">
        <v>292</v>
      </c>
      <c r="B573" s="502"/>
      <c r="C573" s="502"/>
      <c r="D573" s="502"/>
      <c r="E573" s="502"/>
      <c r="F573" s="502"/>
      <c r="G573" s="502"/>
      <c r="H573" s="502"/>
      <c r="I573" s="502"/>
      <c r="J573" s="502"/>
      <c r="K573" s="502"/>
      <c r="L573" s="502"/>
      <c r="M573" s="502"/>
      <c r="N573" s="502"/>
      <c r="O573" s="502"/>
      <c r="P573" s="502"/>
      <c r="Q573" s="502"/>
      <c r="R573" s="502"/>
      <c r="S573" s="502"/>
      <c r="T573" s="162"/>
      <c r="U573" s="162"/>
    </row>
    <row r="574" spans="1:21" ht="9" hidden="1" customHeight="1">
      <c r="A574" s="145">
        <v>188</v>
      </c>
      <c r="B574" s="142" t="s">
        <v>866</v>
      </c>
      <c r="C574" s="46" t="s">
        <v>1126</v>
      </c>
      <c r="D574" s="119" t="s">
        <v>1125</v>
      </c>
      <c r="E574" s="145" t="s">
        <v>597</v>
      </c>
      <c r="F574" s="145" t="s">
        <v>87</v>
      </c>
      <c r="G574" s="44">
        <v>5</v>
      </c>
      <c r="H574" s="44">
        <v>6</v>
      </c>
      <c r="I574" s="144">
        <v>5323.9</v>
      </c>
      <c r="J574" s="144">
        <v>4437.3999999999996</v>
      </c>
      <c r="K574" s="44">
        <v>40</v>
      </c>
      <c r="L574" s="117">
        <f>'Приложение 2 КСП 2018-2019 гг'!G576</f>
        <v>4456224.4000000004</v>
      </c>
      <c r="M574" s="253">
        <v>0</v>
      </c>
      <c r="N574" s="253">
        <v>0</v>
      </c>
      <c r="O574" s="253">
        <v>0</v>
      </c>
      <c r="P574" s="253">
        <f t="shared" ref="P574" si="122">L574</f>
        <v>4456224.4000000004</v>
      </c>
      <c r="Q574" s="253">
        <v>0</v>
      </c>
      <c r="R574" s="144">
        <v>0</v>
      </c>
      <c r="S574" s="46" t="s">
        <v>586</v>
      </c>
      <c r="T574" s="41"/>
      <c r="U574" s="42"/>
    </row>
    <row r="575" spans="1:21" ht="9" hidden="1" customHeight="1">
      <c r="A575" s="145">
        <v>189</v>
      </c>
      <c r="B575" s="142" t="s">
        <v>867</v>
      </c>
      <c r="C575" s="46" t="s">
        <v>1126</v>
      </c>
      <c r="D575" s="119" t="s">
        <v>1125</v>
      </c>
      <c r="E575" s="145" t="s">
        <v>835</v>
      </c>
      <c r="F575" s="145" t="s">
        <v>87</v>
      </c>
      <c r="G575" s="44">
        <v>5</v>
      </c>
      <c r="H575" s="44">
        <v>4</v>
      </c>
      <c r="I575" s="144">
        <v>3156.8</v>
      </c>
      <c r="J575" s="144">
        <v>2840.9</v>
      </c>
      <c r="K575" s="44">
        <v>107</v>
      </c>
      <c r="L575" s="117">
        <f>'Приложение 2 КСП 2018-2019 гг'!G577</f>
        <v>2658531.6</v>
      </c>
      <c r="M575" s="253">
        <v>0</v>
      </c>
      <c r="N575" s="253">
        <v>0</v>
      </c>
      <c r="O575" s="253">
        <v>0</v>
      </c>
      <c r="P575" s="253">
        <f t="shared" ref="P575:P582" si="123">L575</f>
        <v>2658531.6</v>
      </c>
      <c r="Q575" s="253">
        <v>0</v>
      </c>
      <c r="R575" s="144">
        <v>0</v>
      </c>
      <c r="S575" s="46" t="s">
        <v>586</v>
      </c>
      <c r="T575" s="41"/>
      <c r="U575" s="42"/>
    </row>
    <row r="576" spans="1:21" ht="9" hidden="1" customHeight="1">
      <c r="A576" s="252">
        <v>190</v>
      </c>
      <c r="B576" s="142" t="s">
        <v>868</v>
      </c>
      <c r="C576" s="46" t="s">
        <v>1126</v>
      </c>
      <c r="D576" s="119" t="s">
        <v>1125</v>
      </c>
      <c r="E576" s="145" t="s">
        <v>608</v>
      </c>
      <c r="F576" s="145" t="s">
        <v>87</v>
      </c>
      <c r="G576" s="44">
        <v>1</v>
      </c>
      <c r="H576" s="145">
        <v>1</v>
      </c>
      <c r="I576" s="144">
        <v>515.5</v>
      </c>
      <c r="J576" s="144">
        <v>504.1</v>
      </c>
      <c r="K576" s="44">
        <v>26</v>
      </c>
      <c r="L576" s="117">
        <f>'Приложение 2 КСП 2018-2019 гг'!G578</f>
        <v>1804572</v>
      </c>
      <c r="M576" s="253">
        <v>0</v>
      </c>
      <c r="N576" s="253">
        <v>0</v>
      </c>
      <c r="O576" s="253">
        <v>0</v>
      </c>
      <c r="P576" s="253">
        <f t="shared" si="123"/>
        <v>1804572</v>
      </c>
      <c r="Q576" s="253">
        <v>0</v>
      </c>
      <c r="R576" s="144">
        <v>0</v>
      </c>
      <c r="S576" s="46" t="s">
        <v>586</v>
      </c>
      <c r="T576" s="41"/>
      <c r="U576" s="42"/>
    </row>
    <row r="577" spans="1:21" ht="9" hidden="1" customHeight="1">
      <c r="A577" s="252">
        <v>191</v>
      </c>
      <c r="B577" s="142" t="s">
        <v>869</v>
      </c>
      <c r="C577" s="46" t="s">
        <v>1126</v>
      </c>
      <c r="D577" s="119" t="s">
        <v>1125</v>
      </c>
      <c r="E577" s="145" t="s">
        <v>588</v>
      </c>
      <c r="F577" s="145" t="s">
        <v>87</v>
      </c>
      <c r="G577" s="44">
        <v>2</v>
      </c>
      <c r="H577" s="44">
        <v>4</v>
      </c>
      <c r="I577" s="144">
        <v>1212.3</v>
      </c>
      <c r="J577" s="144">
        <v>718.4</v>
      </c>
      <c r="K577" s="44">
        <v>12</v>
      </c>
      <c r="L577" s="117">
        <f>'Приложение 2 КСП 2018-2019 гг'!G579</f>
        <v>2080457.6600000001</v>
      </c>
      <c r="M577" s="253">
        <v>0</v>
      </c>
      <c r="N577" s="253">
        <v>0</v>
      </c>
      <c r="O577" s="253">
        <v>0</v>
      </c>
      <c r="P577" s="253">
        <f t="shared" si="123"/>
        <v>2080457.6600000001</v>
      </c>
      <c r="Q577" s="253">
        <v>0</v>
      </c>
      <c r="R577" s="144">
        <v>0</v>
      </c>
      <c r="S577" s="46" t="s">
        <v>586</v>
      </c>
      <c r="T577" s="41"/>
      <c r="U577" s="42"/>
    </row>
    <row r="578" spans="1:21" ht="9" hidden="1" customHeight="1">
      <c r="A578" s="252">
        <v>192</v>
      </c>
      <c r="B578" s="142" t="s">
        <v>870</v>
      </c>
      <c r="C578" s="46" t="s">
        <v>1126</v>
      </c>
      <c r="D578" s="119" t="s">
        <v>1125</v>
      </c>
      <c r="E578" s="145" t="s">
        <v>792</v>
      </c>
      <c r="F578" s="145" t="s">
        <v>87</v>
      </c>
      <c r="G578" s="44">
        <v>2</v>
      </c>
      <c r="H578" s="44">
        <v>1</v>
      </c>
      <c r="I578" s="144">
        <v>794.7</v>
      </c>
      <c r="J578" s="144">
        <v>784.7</v>
      </c>
      <c r="K578" s="44">
        <v>11</v>
      </c>
      <c r="L578" s="117">
        <f>'Приложение 2 КСП 2018-2019 гг'!G580</f>
        <v>2248406.16</v>
      </c>
      <c r="M578" s="253">
        <v>0</v>
      </c>
      <c r="N578" s="253">
        <v>0</v>
      </c>
      <c r="O578" s="253">
        <v>0</v>
      </c>
      <c r="P578" s="253">
        <f t="shared" si="123"/>
        <v>2248406.16</v>
      </c>
      <c r="Q578" s="253">
        <v>0</v>
      </c>
      <c r="R578" s="144">
        <v>0</v>
      </c>
      <c r="S578" s="46" t="s">
        <v>586</v>
      </c>
      <c r="T578" s="41"/>
      <c r="U578" s="42"/>
    </row>
    <row r="579" spans="1:21" ht="9" hidden="1" customHeight="1">
      <c r="A579" s="252">
        <v>193</v>
      </c>
      <c r="B579" s="142" t="s">
        <v>871</v>
      </c>
      <c r="C579" s="46" t="s">
        <v>1126</v>
      </c>
      <c r="D579" s="119" t="s">
        <v>1125</v>
      </c>
      <c r="E579" s="145" t="s">
        <v>614</v>
      </c>
      <c r="F579" s="145" t="s">
        <v>87</v>
      </c>
      <c r="G579" s="44">
        <v>5</v>
      </c>
      <c r="H579" s="44">
        <v>6</v>
      </c>
      <c r="I579" s="144">
        <v>4760.2</v>
      </c>
      <c r="J579" s="144">
        <v>4096.8</v>
      </c>
      <c r="K579" s="44">
        <v>227</v>
      </c>
      <c r="L579" s="117">
        <f>'Приложение 2 КСП 2018-2019 гг'!G581</f>
        <v>4169667.1</v>
      </c>
      <c r="M579" s="253">
        <v>0</v>
      </c>
      <c r="N579" s="253">
        <v>0</v>
      </c>
      <c r="O579" s="253">
        <v>0</v>
      </c>
      <c r="P579" s="253">
        <f t="shared" si="123"/>
        <v>4169667.1</v>
      </c>
      <c r="Q579" s="253">
        <v>0</v>
      </c>
      <c r="R579" s="144">
        <v>0</v>
      </c>
      <c r="S579" s="46" t="s">
        <v>586</v>
      </c>
      <c r="T579" s="41"/>
      <c r="U579" s="42"/>
    </row>
    <row r="580" spans="1:21" ht="9" hidden="1" customHeight="1">
      <c r="A580" s="252">
        <v>194</v>
      </c>
      <c r="B580" s="142" t="s">
        <v>872</v>
      </c>
      <c r="C580" s="46" t="s">
        <v>1126</v>
      </c>
      <c r="D580" s="119" t="s">
        <v>1125</v>
      </c>
      <c r="E580" s="145" t="s">
        <v>600</v>
      </c>
      <c r="F580" s="145" t="s">
        <v>87</v>
      </c>
      <c r="G580" s="44">
        <v>2</v>
      </c>
      <c r="H580" s="44">
        <v>1</v>
      </c>
      <c r="I580" s="144">
        <v>442.1</v>
      </c>
      <c r="J580" s="144">
        <v>384.5</v>
      </c>
      <c r="K580" s="44">
        <v>176</v>
      </c>
      <c r="L580" s="117">
        <f>'Приложение 2 КСП 2018-2019 гг'!G582</f>
        <v>1024538.2</v>
      </c>
      <c r="M580" s="253">
        <v>0</v>
      </c>
      <c r="N580" s="253">
        <v>0</v>
      </c>
      <c r="O580" s="253">
        <v>0</v>
      </c>
      <c r="P580" s="253">
        <f t="shared" si="123"/>
        <v>1024538.2</v>
      </c>
      <c r="Q580" s="253">
        <v>0</v>
      </c>
      <c r="R580" s="144">
        <v>0</v>
      </c>
      <c r="S580" s="46" t="s">
        <v>586</v>
      </c>
      <c r="T580" s="41"/>
      <c r="U580" s="42"/>
    </row>
    <row r="581" spans="1:21" ht="9" hidden="1" customHeight="1">
      <c r="A581" s="252">
        <v>195</v>
      </c>
      <c r="B581" s="142" t="s">
        <v>873</v>
      </c>
      <c r="C581" s="46" t="s">
        <v>1126</v>
      </c>
      <c r="D581" s="119" t="s">
        <v>1125</v>
      </c>
      <c r="E581" s="145" t="s">
        <v>588</v>
      </c>
      <c r="F581" s="145" t="s">
        <v>875</v>
      </c>
      <c r="G581" s="44">
        <v>2</v>
      </c>
      <c r="H581" s="44">
        <v>2</v>
      </c>
      <c r="I581" s="144">
        <v>573.29999999999995</v>
      </c>
      <c r="J581" s="144">
        <v>458</v>
      </c>
      <c r="K581" s="44">
        <v>25</v>
      </c>
      <c r="L581" s="117">
        <f>'Приложение 2 КСП 2018-2019 гг'!G583</f>
        <v>1623468</v>
      </c>
      <c r="M581" s="253">
        <v>0</v>
      </c>
      <c r="N581" s="253">
        <v>0</v>
      </c>
      <c r="O581" s="253">
        <v>0</v>
      </c>
      <c r="P581" s="253">
        <f t="shared" si="123"/>
        <v>1623468</v>
      </c>
      <c r="Q581" s="253">
        <v>0</v>
      </c>
      <c r="R581" s="144">
        <v>0</v>
      </c>
      <c r="S581" s="46" t="s">
        <v>586</v>
      </c>
      <c r="T581" s="41"/>
      <c r="U581" s="42"/>
    </row>
    <row r="582" spans="1:21" ht="9" hidden="1" customHeight="1">
      <c r="A582" s="252">
        <v>196</v>
      </c>
      <c r="B582" s="142" t="s">
        <v>874</v>
      </c>
      <c r="C582" s="46" t="s">
        <v>1126</v>
      </c>
      <c r="D582" s="119" t="s">
        <v>1125</v>
      </c>
      <c r="E582" s="145" t="s">
        <v>613</v>
      </c>
      <c r="F582" s="145" t="s">
        <v>87</v>
      </c>
      <c r="G582" s="44">
        <v>2</v>
      </c>
      <c r="H582" s="44">
        <v>1</v>
      </c>
      <c r="I582" s="144">
        <v>417.5</v>
      </c>
      <c r="J582" s="144">
        <v>371</v>
      </c>
      <c r="K582" s="44">
        <v>15</v>
      </c>
      <c r="L582" s="117">
        <f>'Приложение 2 КСП 2018-2019 гг'!G584</f>
        <v>1234913.6000000001</v>
      </c>
      <c r="M582" s="253">
        <v>0</v>
      </c>
      <c r="N582" s="253">
        <v>0</v>
      </c>
      <c r="O582" s="253">
        <v>0</v>
      </c>
      <c r="P582" s="253">
        <f t="shared" si="123"/>
        <v>1234913.6000000001</v>
      </c>
      <c r="Q582" s="253">
        <v>0</v>
      </c>
      <c r="R582" s="144">
        <v>0</v>
      </c>
      <c r="S582" s="46" t="s">
        <v>586</v>
      </c>
      <c r="T582" s="41"/>
      <c r="U582" s="42"/>
    </row>
    <row r="583" spans="1:21" ht="33.75" hidden="1" customHeight="1">
      <c r="A583" s="599" t="s">
        <v>298</v>
      </c>
      <c r="B583" s="599"/>
      <c r="C583" s="46"/>
      <c r="D583" s="145"/>
      <c r="E583" s="145" t="s">
        <v>387</v>
      </c>
      <c r="F583" s="145" t="s">
        <v>387</v>
      </c>
      <c r="G583" s="145" t="s">
        <v>387</v>
      </c>
      <c r="H583" s="145" t="s">
        <v>387</v>
      </c>
      <c r="I583" s="253">
        <f>SUM(I574:I582)</f>
        <v>17196.300000000003</v>
      </c>
      <c r="J583" s="253">
        <f t="shared" ref="J583:R583" si="124">SUM(J574:J582)</f>
        <v>14595.8</v>
      </c>
      <c r="K583" s="45">
        <f t="shared" si="124"/>
        <v>639</v>
      </c>
      <c r="L583" s="253">
        <f t="shared" si="124"/>
        <v>21300778.720000003</v>
      </c>
      <c r="M583" s="253">
        <f t="shared" si="124"/>
        <v>0</v>
      </c>
      <c r="N583" s="253">
        <f t="shared" si="124"/>
        <v>0</v>
      </c>
      <c r="O583" s="253">
        <f t="shared" si="124"/>
        <v>0</v>
      </c>
      <c r="P583" s="253">
        <f t="shared" si="124"/>
        <v>21300778.720000003</v>
      </c>
      <c r="Q583" s="253">
        <f t="shared" si="124"/>
        <v>0</v>
      </c>
      <c r="R583" s="253">
        <f t="shared" si="124"/>
        <v>0</v>
      </c>
      <c r="S583" s="144"/>
      <c r="T583" s="41"/>
      <c r="U583" s="42"/>
    </row>
    <row r="584" spans="1:21" ht="9" hidden="1" customHeight="1">
      <c r="A584" s="502" t="s">
        <v>293</v>
      </c>
      <c r="B584" s="502"/>
      <c r="C584" s="502"/>
      <c r="D584" s="502"/>
      <c r="E584" s="502"/>
      <c r="F584" s="502"/>
      <c r="G584" s="502"/>
      <c r="H584" s="502"/>
      <c r="I584" s="502"/>
      <c r="J584" s="502"/>
      <c r="K584" s="502"/>
      <c r="L584" s="502"/>
      <c r="M584" s="502"/>
      <c r="N584" s="502"/>
      <c r="O584" s="502"/>
      <c r="P584" s="502"/>
      <c r="Q584" s="502"/>
      <c r="R584" s="502"/>
      <c r="S584" s="502"/>
      <c r="T584" s="162"/>
      <c r="U584" s="162"/>
    </row>
    <row r="585" spans="1:21" ht="9" hidden="1" customHeight="1">
      <c r="A585" s="69">
        <v>197</v>
      </c>
      <c r="B585" s="68" t="s">
        <v>879</v>
      </c>
      <c r="C585" s="46" t="s">
        <v>1126</v>
      </c>
      <c r="D585" s="119" t="s">
        <v>1125</v>
      </c>
      <c r="E585" s="145" t="s">
        <v>598</v>
      </c>
      <c r="F585" s="145" t="s">
        <v>87</v>
      </c>
      <c r="G585" s="44">
        <v>2</v>
      </c>
      <c r="H585" s="44">
        <v>2</v>
      </c>
      <c r="I585" s="144">
        <v>380.2</v>
      </c>
      <c r="J585" s="144">
        <v>347.9</v>
      </c>
      <c r="K585" s="44">
        <v>13</v>
      </c>
      <c r="L585" s="117">
        <f>'Приложение 2 КСП 2018-2019 гг'!G587</f>
        <v>1188495</v>
      </c>
      <c r="M585" s="253">
        <v>0</v>
      </c>
      <c r="N585" s="253">
        <v>0</v>
      </c>
      <c r="O585" s="253">
        <v>0</v>
      </c>
      <c r="P585" s="253">
        <f t="shared" ref="P585" si="125">L585</f>
        <v>1188495</v>
      </c>
      <c r="Q585" s="253">
        <v>0</v>
      </c>
      <c r="R585" s="144">
        <v>0</v>
      </c>
      <c r="S585" s="46" t="s">
        <v>586</v>
      </c>
      <c r="T585" s="41"/>
      <c r="U585" s="42"/>
    </row>
    <row r="586" spans="1:21" ht="36" hidden="1" customHeight="1">
      <c r="A586" s="599" t="s">
        <v>299</v>
      </c>
      <c r="B586" s="599"/>
      <c r="C586" s="46"/>
      <c r="D586" s="142"/>
      <c r="E586" s="145" t="s">
        <v>387</v>
      </c>
      <c r="F586" s="145" t="s">
        <v>387</v>
      </c>
      <c r="G586" s="145" t="s">
        <v>387</v>
      </c>
      <c r="H586" s="145" t="s">
        <v>387</v>
      </c>
      <c r="I586" s="253">
        <f>SUM(I585)</f>
        <v>380.2</v>
      </c>
      <c r="J586" s="253">
        <f t="shared" ref="J586:R586" si="126">SUM(J585)</f>
        <v>347.9</v>
      </c>
      <c r="K586" s="45">
        <f t="shared" si="126"/>
        <v>13</v>
      </c>
      <c r="L586" s="253">
        <f t="shared" si="126"/>
        <v>1188495</v>
      </c>
      <c r="M586" s="253">
        <f t="shared" si="126"/>
        <v>0</v>
      </c>
      <c r="N586" s="253">
        <f t="shared" si="126"/>
        <v>0</v>
      </c>
      <c r="O586" s="253">
        <f t="shared" si="126"/>
        <v>0</v>
      </c>
      <c r="P586" s="253">
        <f t="shared" si="126"/>
        <v>1188495</v>
      </c>
      <c r="Q586" s="253">
        <f t="shared" si="126"/>
        <v>0</v>
      </c>
      <c r="R586" s="253">
        <f t="shared" si="126"/>
        <v>0</v>
      </c>
      <c r="S586" s="144"/>
      <c r="T586" s="41"/>
      <c r="U586" s="42"/>
    </row>
    <row r="587" spans="1:21" ht="9" hidden="1" customHeight="1">
      <c r="A587" s="502" t="s">
        <v>295</v>
      </c>
      <c r="B587" s="502"/>
      <c r="C587" s="502"/>
      <c r="D587" s="502"/>
      <c r="E587" s="502"/>
      <c r="F587" s="502"/>
      <c r="G587" s="502"/>
      <c r="H587" s="502"/>
      <c r="I587" s="502"/>
      <c r="J587" s="502"/>
      <c r="K587" s="502"/>
      <c r="L587" s="502"/>
      <c r="M587" s="502"/>
      <c r="N587" s="502"/>
      <c r="O587" s="502"/>
      <c r="P587" s="502"/>
      <c r="Q587" s="502"/>
      <c r="R587" s="502"/>
      <c r="S587" s="502"/>
      <c r="T587" s="162"/>
      <c r="U587" s="162"/>
    </row>
    <row r="588" spans="1:21" ht="9" hidden="1" customHeight="1">
      <c r="A588" s="145">
        <v>198</v>
      </c>
      <c r="B588" s="142" t="s">
        <v>877</v>
      </c>
      <c r="C588" s="46" t="s">
        <v>1126</v>
      </c>
      <c r="D588" s="119" t="s">
        <v>1125</v>
      </c>
      <c r="E588" s="145" t="s">
        <v>614</v>
      </c>
      <c r="F588" s="145" t="s">
        <v>87</v>
      </c>
      <c r="G588" s="44">
        <v>2</v>
      </c>
      <c r="H588" s="44">
        <v>3</v>
      </c>
      <c r="I588" s="144">
        <v>2570.4</v>
      </c>
      <c r="J588" s="144">
        <v>994.1</v>
      </c>
      <c r="K588" s="145">
        <v>38</v>
      </c>
      <c r="L588" s="117">
        <f>'Приложение 2 КСП 2018-2019 гг'!G590</f>
        <v>3568395.6</v>
      </c>
      <c r="M588" s="253">
        <v>0</v>
      </c>
      <c r="N588" s="253">
        <v>0</v>
      </c>
      <c r="O588" s="253">
        <v>0</v>
      </c>
      <c r="P588" s="253">
        <f t="shared" ref="P588" si="127">L588</f>
        <v>3568395.6</v>
      </c>
      <c r="Q588" s="253">
        <v>0</v>
      </c>
      <c r="R588" s="144">
        <v>0</v>
      </c>
      <c r="S588" s="46" t="s">
        <v>586</v>
      </c>
      <c r="T588" s="41"/>
      <c r="U588" s="42"/>
    </row>
    <row r="589" spans="1:21" ht="34.5" hidden="1" customHeight="1">
      <c r="A589" s="599" t="s">
        <v>301</v>
      </c>
      <c r="B589" s="599"/>
      <c r="C589" s="46"/>
      <c r="D589" s="142"/>
      <c r="E589" s="145" t="s">
        <v>387</v>
      </c>
      <c r="F589" s="145" t="s">
        <v>387</v>
      </c>
      <c r="G589" s="145" t="s">
        <v>387</v>
      </c>
      <c r="H589" s="145" t="s">
        <v>387</v>
      </c>
      <c r="I589" s="253">
        <f>SUM(I588)</f>
        <v>2570.4</v>
      </c>
      <c r="J589" s="253">
        <f t="shared" ref="J589:R589" si="128">SUM(J588)</f>
        <v>994.1</v>
      </c>
      <c r="K589" s="45">
        <f t="shared" si="128"/>
        <v>38</v>
      </c>
      <c r="L589" s="253">
        <f t="shared" si="128"/>
        <v>3568395.6</v>
      </c>
      <c r="M589" s="253">
        <f t="shared" si="128"/>
        <v>0</v>
      </c>
      <c r="N589" s="253">
        <f t="shared" si="128"/>
        <v>0</v>
      </c>
      <c r="O589" s="253">
        <f t="shared" si="128"/>
        <v>0</v>
      </c>
      <c r="P589" s="253">
        <f t="shared" si="128"/>
        <v>3568395.6</v>
      </c>
      <c r="Q589" s="253">
        <f t="shared" si="128"/>
        <v>0</v>
      </c>
      <c r="R589" s="253">
        <f t="shared" si="128"/>
        <v>0</v>
      </c>
      <c r="S589" s="144"/>
      <c r="T589" s="143"/>
      <c r="U589" s="42"/>
    </row>
    <row r="590" spans="1:21" ht="9" hidden="1" customHeight="1">
      <c r="A590" s="509" t="s">
        <v>893</v>
      </c>
      <c r="B590" s="509"/>
      <c r="C590" s="509"/>
      <c r="D590" s="509"/>
      <c r="E590" s="509"/>
      <c r="F590" s="509"/>
      <c r="G590" s="509"/>
      <c r="H590" s="509"/>
      <c r="I590" s="509"/>
      <c r="J590" s="509"/>
      <c r="K590" s="509"/>
      <c r="L590" s="509"/>
      <c r="M590" s="509"/>
      <c r="N590" s="509"/>
      <c r="O590" s="509"/>
      <c r="P590" s="509"/>
      <c r="Q590" s="509"/>
      <c r="R590" s="509"/>
      <c r="S590" s="509"/>
      <c r="T590" s="191"/>
      <c r="U590" s="191"/>
    </row>
    <row r="591" spans="1:21" ht="9" hidden="1" customHeight="1">
      <c r="A591" s="90">
        <v>199</v>
      </c>
      <c r="B591" s="142" t="s">
        <v>894</v>
      </c>
      <c r="C591" s="46" t="s">
        <v>1126</v>
      </c>
      <c r="D591" s="119" t="s">
        <v>1125</v>
      </c>
      <c r="E591" s="145" t="s">
        <v>587</v>
      </c>
      <c r="F591" s="145" t="s">
        <v>87</v>
      </c>
      <c r="G591" s="44">
        <v>2</v>
      </c>
      <c r="H591" s="44">
        <v>2</v>
      </c>
      <c r="I591" s="144">
        <v>665.6</v>
      </c>
      <c r="J591" s="144">
        <v>601.1</v>
      </c>
      <c r="K591" s="145">
        <v>29</v>
      </c>
      <c r="L591" s="117">
        <f>'Приложение 2 КСП 2018-2019 гг'!G593</f>
        <v>1513512</v>
      </c>
      <c r="M591" s="253">
        <v>0</v>
      </c>
      <c r="N591" s="253">
        <v>0</v>
      </c>
      <c r="O591" s="253">
        <v>0</v>
      </c>
      <c r="P591" s="253">
        <f t="shared" ref="P591" si="129">L591</f>
        <v>1513512</v>
      </c>
      <c r="Q591" s="253">
        <v>0</v>
      </c>
      <c r="R591" s="144">
        <v>0</v>
      </c>
      <c r="S591" s="46" t="s">
        <v>586</v>
      </c>
      <c r="T591" s="41"/>
      <c r="U591" s="42"/>
    </row>
    <row r="592" spans="1:21" ht="25.5" hidden="1" customHeight="1">
      <c r="A592" s="607" t="s">
        <v>895</v>
      </c>
      <c r="B592" s="607"/>
      <c r="C592" s="94"/>
      <c r="D592" s="146"/>
      <c r="E592" s="145" t="s">
        <v>387</v>
      </c>
      <c r="F592" s="145" t="s">
        <v>387</v>
      </c>
      <c r="G592" s="145" t="s">
        <v>387</v>
      </c>
      <c r="H592" s="145" t="s">
        <v>387</v>
      </c>
      <c r="I592" s="253">
        <f>SUM(I591)</f>
        <v>665.6</v>
      </c>
      <c r="J592" s="253">
        <f t="shared" ref="J592:R592" si="130">SUM(J591)</f>
        <v>601.1</v>
      </c>
      <c r="K592" s="253">
        <f t="shared" si="130"/>
        <v>29</v>
      </c>
      <c r="L592" s="253">
        <f t="shared" si="130"/>
        <v>1513512</v>
      </c>
      <c r="M592" s="253">
        <f t="shared" si="130"/>
        <v>0</v>
      </c>
      <c r="N592" s="253">
        <f t="shared" si="130"/>
        <v>0</v>
      </c>
      <c r="O592" s="253">
        <f t="shared" si="130"/>
        <v>0</v>
      </c>
      <c r="P592" s="253">
        <f t="shared" si="130"/>
        <v>1513512</v>
      </c>
      <c r="Q592" s="253">
        <f t="shared" si="130"/>
        <v>0</v>
      </c>
      <c r="R592" s="253">
        <f t="shared" si="130"/>
        <v>0</v>
      </c>
      <c r="S592" s="144"/>
      <c r="T592" s="165"/>
      <c r="U592" s="166"/>
    </row>
    <row r="593" spans="1:21" ht="9" hidden="1" customHeight="1">
      <c r="A593" s="509" t="s">
        <v>1019</v>
      </c>
      <c r="B593" s="509"/>
      <c r="C593" s="509"/>
      <c r="D593" s="509"/>
      <c r="E593" s="509"/>
      <c r="F593" s="509"/>
      <c r="G593" s="509"/>
      <c r="H593" s="509"/>
      <c r="I593" s="509"/>
      <c r="J593" s="509"/>
      <c r="K593" s="509"/>
      <c r="L593" s="509"/>
      <c r="M593" s="509"/>
      <c r="N593" s="509"/>
      <c r="O593" s="509"/>
      <c r="P593" s="509"/>
      <c r="Q593" s="509"/>
      <c r="R593" s="509"/>
      <c r="S593" s="509"/>
      <c r="T593" s="191"/>
      <c r="U593" s="191"/>
    </row>
    <row r="594" spans="1:21" ht="9" hidden="1" customHeight="1">
      <c r="A594" s="90">
        <v>200</v>
      </c>
      <c r="B594" s="142" t="s">
        <v>887</v>
      </c>
      <c r="C594" s="46" t="s">
        <v>1126</v>
      </c>
      <c r="D594" s="119" t="s">
        <v>1125</v>
      </c>
      <c r="E594" s="145" t="s">
        <v>603</v>
      </c>
      <c r="F594" s="145" t="s">
        <v>89</v>
      </c>
      <c r="G594" s="44">
        <v>5</v>
      </c>
      <c r="H594" s="44">
        <v>3</v>
      </c>
      <c r="I594" s="144">
        <v>4425.1000000000004</v>
      </c>
      <c r="J594" s="144">
        <v>3105.5</v>
      </c>
      <c r="K594" s="145">
        <v>123</v>
      </c>
      <c r="L594" s="117">
        <f>'Приложение 2 КСП 2018-2019 гг'!G596</f>
        <v>2933920</v>
      </c>
      <c r="M594" s="253">
        <v>0</v>
      </c>
      <c r="N594" s="253">
        <v>0</v>
      </c>
      <c r="O594" s="253">
        <v>0</v>
      </c>
      <c r="P594" s="253">
        <f t="shared" ref="P594:P599" si="131">L594</f>
        <v>2933920</v>
      </c>
      <c r="Q594" s="253">
        <v>0</v>
      </c>
      <c r="R594" s="144">
        <v>0</v>
      </c>
      <c r="S594" s="46" t="s">
        <v>586</v>
      </c>
      <c r="T594" s="41"/>
      <c r="U594" s="42"/>
    </row>
    <row r="595" spans="1:21" ht="9" hidden="1" customHeight="1">
      <c r="A595" s="90">
        <v>201</v>
      </c>
      <c r="B595" s="142" t="s">
        <v>888</v>
      </c>
      <c r="C595" s="46" t="s">
        <v>1126</v>
      </c>
      <c r="D595" s="119" t="s">
        <v>1125</v>
      </c>
      <c r="E595" s="145" t="s">
        <v>595</v>
      </c>
      <c r="F595" s="145" t="s">
        <v>89</v>
      </c>
      <c r="G595" s="44">
        <v>5</v>
      </c>
      <c r="H595" s="44">
        <v>4</v>
      </c>
      <c r="I595" s="144">
        <v>4402.8999999999996</v>
      </c>
      <c r="J595" s="144">
        <v>3225.6</v>
      </c>
      <c r="K595" s="44">
        <v>125</v>
      </c>
      <c r="L595" s="117">
        <f>'Приложение 2 КСП 2018-2019 гг'!G597</f>
        <v>2817230</v>
      </c>
      <c r="M595" s="253">
        <v>0</v>
      </c>
      <c r="N595" s="253">
        <v>0</v>
      </c>
      <c r="O595" s="253">
        <v>0</v>
      </c>
      <c r="P595" s="253">
        <f t="shared" si="131"/>
        <v>2817230</v>
      </c>
      <c r="Q595" s="253">
        <v>0</v>
      </c>
      <c r="R595" s="144">
        <v>0</v>
      </c>
      <c r="S595" s="46" t="s">
        <v>586</v>
      </c>
      <c r="T595" s="41"/>
      <c r="U595" s="42"/>
    </row>
    <row r="596" spans="1:21" ht="9" hidden="1" customHeight="1">
      <c r="A596" s="90">
        <v>202</v>
      </c>
      <c r="B596" s="142" t="s">
        <v>889</v>
      </c>
      <c r="C596" s="46" t="s">
        <v>1126</v>
      </c>
      <c r="D596" s="119" t="s">
        <v>1125</v>
      </c>
      <c r="E596" s="145" t="s">
        <v>612</v>
      </c>
      <c r="F596" s="145" t="s">
        <v>87</v>
      </c>
      <c r="G596" s="44">
        <v>5</v>
      </c>
      <c r="H596" s="44">
        <v>4</v>
      </c>
      <c r="I596" s="144">
        <v>3605.7</v>
      </c>
      <c r="J596" s="144">
        <v>2592.1999999999998</v>
      </c>
      <c r="K596" s="44">
        <v>106</v>
      </c>
      <c r="L596" s="117">
        <f>'Приложение 2 КСП 2018-2019 гг'!G598</f>
        <v>2817230</v>
      </c>
      <c r="M596" s="253">
        <v>0</v>
      </c>
      <c r="N596" s="253">
        <v>0</v>
      </c>
      <c r="O596" s="253">
        <v>0</v>
      </c>
      <c r="P596" s="253">
        <f t="shared" si="131"/>
        <v>2817230</v>
      </c>
      <c r="Q596" s="253">
        <v>0</v>
      </c>
      <c r="R596" s="144">
        <v>0</v>
      </c>
      <c r="S596" s="46" t="s">
        <v>586</v>
      </c>
      <c r="T596" s="41"/>
      <c r="U596" s="42"/>
    </row>
    <row r="597" spans="1:21" ht="9" hidden="1" customHeight="1">
      <c r="A597" s="90">
        <v>203</v>
      </c>
      <c r="B597" s="142" t="s">
        <v>890</v>
      </c>
      <c r="C597" s="46" t="s">
        <v>1126</v>
      </c>
      <c r="D597" s="119" t="s">
        <v>1125</v>
      </c>
      <c r="E597" s="145" t="s">
        <v>612</v>
      </c>
      <c r="F597" s="145" t="s">
        <v>87</v>
      </c>
      <c r="G597" s="44">
        <v>5</v>
      </c>
      <c r="H597" s="44">
        <v>4</v>
      </c>
      <c r="I597" s="144">
        <v>4527.5</v>
      </c>
      <c r="J597" s="144">
        <v>3042.2</v>
      </c>
      <c r="K597" s="44">
        <v>112</v>
      </c>
      <c r="L597" s="117">
        <f>'Приложение 2 КСП 2018-2019 гг'!G599</f>
        <v>3127292</v>
      </c>
      <c r="M597" s="253">
        <v>0</v>
      </c>
      <c r="N597" s="253">
        <v>0</v>
      </c>
      <c r="O597" s="253">
        <v>0</v>
      </c>
      <c r="P597" s="253">
        <f t="shared" si="131"/>
        <v>3127292</v>
      </c>
      <c r="Q597" s="253">
        <v>0</v>
      </c>
      <c r="R597" s="144">
        <v>0</v>
      </c>
      <c r="S597" s="46" t="s">
        <v>586</v>
      </c>
      <c r="T597" s="41"/>
      <c r="U597" s="42"/>
    </row>
    <row r="598" spans="1:21" ht="9" hidden="1" customHeight="1">
      <c r="A598" s="90">
        <v>204</v>
      </c>
      <c r="B598" s="142" t="s">
        <v>891</v>
      </c>
      <c r="C598" s="46" t="s">
        <v>1126</v>
      </c>
      <c r="D598" s="119" t="s">
        <v>1125</v>
      </c>
      <c r="E598" s="145" t="s">
        <v>608</v>
      </c>
      <c r="F598" s="145" t="s">
        <v>87</v>
      </c>
      <c r="G598" s="44">
        <v>5</v>
      </c>
      <c r="H598" s="44">
        <v>6</v>
      </c>
      <c r="I598" s="144">
        <v>4554.8</v>
      </c>
      <c r="J598" s="144">
        <v>3077.1</v>
      </c>
      <c r="K598" s="44">
        <v>113</v>
      </c>
      <c r="L598" s="117">
        <f>'Приложение 2 КСП 2018-2019 гг'!G600</f>
        <v>2327132</v>
      </c>
      <c r="M598" s="253">
        <v>0</v>
      </c>
      <c r="N598" s="253">
        <v>0</v>
      </c>
      <c r="O598" s="253">
        <v>0</v>
      </c>
      <c r="P598" s="253">
        <f t="shared" si="131"/>
        <v>2327132</v>
      </c>
      <c r="Q598" s="253">
        <v>0</v>
      </c>
      <c r="R598" s="144">
        <v>0</v>
      </c>
      <c r="S598" s="46" t="s">
        <v>586</v>
      </c>
      <c r="T598" s="41"/>
      <c r="U598" s="42"/>
    </row>
    <row r="599" spans="1:21" ht="9" hidden="1" customHeight="1">
      <c r="A599" s="90">
        <v>205</v>
      </c>
      <c r="B599" s="142" t="s">
        <v>892</v>
      </c>
      <c r="C599" s="46" t="s">
        <v>1126</v>
      </c>
      <c r="D599" s="119" t="s">
        <v>1125</v>
      </c>
      <c r="E599" s="145" t="s">
        <v>612</v>
      </c>
      <c r="F599" s="145" t="s">
        <v>87</v>
      </c>
      <c r="G599" s="44">
        <v>5</v>
      </c>
      <c r="H599" s="44">
        <v>4</v>
      </c>
      <c r="I599" s="144">
        <v>4523.3599999999997</v>
      </c>
      <c r="J599" s="144">
        <v>3071.76</v>
      </c>
      <c r="K599" s="44">
        <v>142</v>
      </c>
      <c r="L599" s="117">
        <f>'Приложение 2 КСП 2018-2019 гг'!G601</f>
        <v>3110622</v>
      </c>
      <c r="M599" s="253">
        <v>0</v>
      </c>
      <c r="N599" s="253">
        <v>0</v>
      </c>
      <c r="O599" s="253">
        <v>0</v>
      </c>
      <c r="P599" s="253">
        <f t="shared" si="131"/>
        <v>3110622</v>
      </c>
      <c r="Q599" s="253">
        <v>0</v>
      </c>
      <c r="R599" s="144">
        <v>0</v>
      </c>
      <c r="S599" s="46" t="s">
        <v>586</v>
      </c>
      <c r="T599" s="41"/>
      <c r="U599" s="42"/>
    </row>
    <row r="600" spans="1:21" ht="36.75" hidden="1" customHeight="1">
      <c r="A600" s="607" t="s">
        <v>328</v>
      </c>
      <c r="B600" s="607"/>
      <c r="C600" s="94"/>
      <c r="D600" s="90"/>
      <c r="E600" s="145" t="s">
        <v>387</v>
      </c>
      <c r="F600" s="145" t="s">
        <v>387</v>
      </c>
      <c r="G600" s="145" t="s">
        <v>387</v>
      </c>
      <c r="H600" s="145" t="s">
        <v>387</v>
      </c>
      <c r="I600" s="253">
        <f>SUM(I594:I599)</f>
        <v>26039.360000000001</v>
      </c>
      <c r="J600" s="253">
        <f t="shared" ref="J600:R600" si="132">SUM(J594:J599)</f>
        <v>18114.36</v>
      </c>
      <c r="K600" s="45">
        <f t="shared" si="132"/>
        <v>721</v>
      </c>
      <c r="L600" s="253">
        <f t="shared" si="132"/>
        <v>17133426</v>
      </c>
      <c r="M600" s="253">
        <f t="shared" si="132"/>
        <v>0</v>
      </c>
      <c r="N600" s="253">
        <f t="shared" si="132"/>
        <v>0</v>
      </c>
      <c r="O600" s="253">
        <f t="shared" si="132"/>
        <v>0</v>
      </c>
      <c r="P600" s="253">
        <f t="shared" si="132"/>
        <v>17133426</v>
      </c>
      <c r="Q600" s="253">
        <f t="shared" si="132"/>
        <v>0</v>
      </c>
      <c r="R600" s="253">
        <f t="shared" si="132"/>
        <v>0</v>
      </c>
      <c r="S600" s="144"/>
      <c r="T600" s="165"/>
      <c r="U600" s="166"/>
    </row>
    <row r="601" spans="1:21" ht="9" hidden="1" customHeight="1">
      <c r="A601" s="502" t="s">
        <v>401</v>
      </c>
      <c r="B601" s="502"/>
      <c r="C601" s="502"/>
      <c r="D601" s="502"/>
      <c r="E601" s="502"/>
      <c r="F601" s="502"/>
      <c r="G601" s="502"/>
      <c r="H601" s="502"/>
      <c r="I601" s="502"/>
      <c r="J601" s="502"/>
      <c r="K601" s="502"/>
      <c r="L601" s="502"/>
      <c r="M601" s="502"/>
      <c r="N601" s="502"/>
      <c r="O601" s="502"/>
      <c r="P601" s="502"/>
      <c r="Q601" s="502"/>
      <c r="R601" s="502"/>
      <c r="S601" s="502"/>
      <c r="T601" s="162"/>
      <c r="U601" s="162"/>
    </row>
    <row r="602" spans="1:21" ht="9" hidden="1" customHeight="1">
      <c r="A602" s="145">
        <v>206</v>
      </c>
      <c r="B602" s="142" t="s">
        <v>899</v>
      </c>
      <c r="C602" s="46" t="s">
        <v>1126</v>
      </c>
      <c r="D602" s="119" t="s">
        <v>1125</v>
      </c>
      <c r="E602" s="145" t="s">
        <v>602</v>
      </c>
      <c r="F602" s="145" t="s">
        <v>87</v>
      </c>
      <c r="G602" s="44">
        <v>2</v>
      </c>
      <c r="H602" s="44">
        <v>2</v>
      </c>
      <c r="I602" s="144">
        <v>580.20000000000005</v>
      </c>
      <c r="J602" s="144">
        <v>536.67999999999995</v>
      </c>
      <c r="K602" s="44">
        <v>40</v>
      </c>
      <c r="L602" s="117">
        <f>'Приложение 2 КСП 2018-2019 гг'!G604</f>
        <v>1534533</v>
      </c>
      <c r="M602" s="253">
        <v>0</v>
      </c>
      <c r="N602" s="253">
        <v>0</v>
      </c>
      <c r="O602" s="253">
        <v>0</v>
      </c>
      <c r="P602" s="253">
        <f t="shared" ref="P602" si="133">L602</f>
        <v>1534533</v>
      </c>
      <c r="Q602" s="253">
        <v>0</v>
      </c>
      <c r="R602" s="144">
        <v>0</v>
      </c>
      <c r="S602" s="46" t="s">
        <v>586</v>
      </c>
      <c r="T602" s="41"/>
      <c r="U602" s="42"/>
    </row>
    <row r="603" spans="1:21" ht="36.75" hidden="1" customHeight="1">
      <c r="A603" s="599" t="s">
        <v>402</v>
      </c>
      <c r="B603" s="599"/>
      <c r="C603" s="46"/>
      <c r="D603" s="142"/>
      <c r="E603" s="145" t="s">
        <v>387</v>
      </c>
      <c r="F603" s="145" t="s">
        <v>387</v>
      </c>
      <c r="G603" s="145" t="s">
        <v>387</v>
      </c>
      <c r="H603" s="145" t="s">
        <v>387</v>
      </c>
      <c r="I603" s="253">
        <f>SUM(I602)</f>
        <v>580.20000000000005</v>
      </c>
      <c r="J603" s="253">
        <f t="shared" ref="J603:R603" si="134">SUM(J602)</f>
        <v>536.67999999999995</v>
      </c>
      <c r="K603" s="45">
        <f t="shared" si="134"/>
        <v>40</v>
      </c>
      <c r="L603" s="253">
        <f t="shared" si="134"/>
        <v>1534533</v>
      </c>
      <c r="M603" s="253">
        <f t="shared" si="134"/>
        <v>0</v>
      </c>
      <c r="N603" s="253">
        <f t="shared" si="134"/>
        <v>0</v>
      </c>
      <c r="O603" s="253">
        <f t="shared" si="134"/>
        <v>0</v>
      </c>
      <c r="P603" s="253">
        <f t="shared" si="134"/>
        <v>1534533</v>
      </c>
      <c r="Q603" s="253">
        <f t="shared" si="134"/>
        <v>0</v>
      </c>
      <c r="R603" s="253">
        <f t="shared" si="134"/>
        <v>0</v>
      </c>
      <c r="S603" s="144"/>
      <c r="T603" s="143"/>
      <c r="U603" s="42"/>
    </row>
    <row r="604" spans="1:21" ht="9" hidden="1" customHeight="1">
      <c r="A604" s="502" t="s">
        <v>423</v>
      </c>
      <c r="B604" s="502"/>
      <c r="C604" s="502"/>
      <c r="D604" s="502"/>
      <c r="E604" s="502"/>
      <c r="F604" s="502"/>
      <c r="G604" s="502"/>
      <c r="H604" s="502"/>
      <c r="I604" s="502"/>
      <c r="J604" s="502"/>
      <c r="K604" s="502"/>
      <c r="L604" s="502"/>
      <c r="M604" s="502"/>
      <c r="N604" s="502"/>
      <c r="O604" s="502"/>
      <c r="P604" s="502"/>
      <c r="Q604" s="502"/>
      <c r="R604" s="502"/>
      <c r="S604" s="502"/>
      <c r="T604" s="162"/>
      <c r="U604" s="162"/>
    </row>
    <row r="605" spans="1:21" ht="9" hidden="1" customHeight="1">
      <c r="A605" s="145">
        <v>207</v>
      </c>
      <c r="B605" s="68" t="s">
        <v>906</v>
      </c>
      <c r="C605" s="46" t="s">
        <v>1126</v>
      </c>
      <c r="D605" s="119" t="s">
        <v>1125</v>
      </c>
      <c r="E605" s="145" t="s">
        <v>608</v>
      </c>
      <c r="F605" s="145" t="s">
        <v>87</v>
      </c>
      <c r="G605" s="44">
        <v>2</v>
      </c>
      <c r="H605" s="44">
        <v>2</v>
      </c>
      <c r="I605" s="144">
        <v>536.20000000000005</v>
      </c>
      <c r="J605" s="144">
        <v>492</v>
      </c>
      <c r="K605" s="44">
        <v>202</v>
      </c>
      <c r="L605" s="117">
        <f>'Приложение 2 КСП 2018-2019 гг'!G607</f>
        <v>1455300</v>
      </c>
      <c r="M605" s="253">
        <v>0</v>
      </c>
      <c r="N605" s="253">
        <v>0</v>
      </c>
      <c r="O605" s="253">
        <v>0</v>
      </c>
      <c r="P605" s="253">
        <f t="shared" ref="P605" si="135">L605</f>
        <v>1455300</v>
      </c>
      <c r="Q605" s="253">
        <v>0</v>
      </c>
      <c r="R605" s="144">
        <v>0</v>
      </c>
      <c r="S605" s="46" t="s">
        <v>586</v>
      </c>
      <c r="T605" s="41"/>
      <c r="U605" s="42"/>
    </row>
    <row r="606" spans="1:21" ht="9" hidden="1" customHeight="1">
      <c r="A606" s="145">
        <v>208</v>
      </c>
      <c r="B606" s="68" t="s">
        <v>907</v>
      </c>
      <c r="C606" s="46" t="s">
        <v>1126</v>
      </c>
      <c r="D606" s="119" t="s">
        <v>1125</v>
      </c>
      <c r="E606" s="145" t="s">
        <v>608</v>
      </c>
      <c r="F606" s="145" t="s">
        <v>87</v>
      </c>
      <c r="G606" s="44">
        <v>2</v>
      </c>
      <c r="H606" s="44">
        <v>3</v>
      </c>
      <c r="I606" s="144">
        <v>873.1</v>
      </c>
      <c r="J606" s="144">
        <v>795.7</v>
      </c>
      <c r="K606" s="44">
        <v>91</v>
      </c>
      <c r="L606" s="117">
        <f>'Приложение 2 КСП 2018-2019 гг'!G608</f>
        <v>2102100</v>
      </c>
      <c r="M606" s="253">
        <v>0</v>
      </c>
      <c r="N606" s="253">
        <v>0</v>
      </c>
      <c r="O606" s="253">
        <v>0</v>
      </c>
      <c r="P606" s="253">
        <f t="shared" ref="P606:P610" si="136">L606</f>
        <v>2102100</v>
      </c>
      <c r="Q606" s="253">
        <v>0</v>
      </c>
      <c r="R606" s="144">
        <v>0</v>
      </c>
      <c r="S606" s="46" t="s">
        <v>586</v>
      </c>
      <c r="T606" s="41"/>
      <c r="U606" s="42"/>
    </row>
    <row r="607" spans="1:21" ht="9" hidden="1" customHeight="1">
      <c r="A607" s="252">
        <v>209</v>
      </c>
      <c r="B607" s="68" t="s">
        <v>908</v>
      </c>
      <c r="C607" s="46" t="s">
        <v>1126</v>
      </c>
      <c r="D607" s="119" t="s">
        <v>1125</v>
      </c>
      <c r="E607" s="145" t="s">
        <v>611</v>
      </c>
      <c r="F607" s="145" t="s">
        <v>87</v>
      </c>
      <c r="G607" s="44">
        <v>5</v>
      </c>
      <c r="H607" s="44">
        <v>4</v>
      </c>
      <c r="I607" s="144">
        <v>3445.6</v>
      </c>
      <c r="J607" s="144">
        <v>2606</v>
      </c>
      <c r="K607" s="44">
        <v>52</v>
      </c>
      <c r="L607" s="117">
        <f>'Приложение 2 КСП 2018-2019 гг'!G609</f>
        <v>3087499.8</v>
      </c>
      <c r="M607" s="253">
        <v>0</v>
      </c>
      <c r="N607" s="253">
        <v>0</v>
      </c>
      <c r="O607" s="253">
        <v>0</v>
      </c>
      <c r="P607" s="253">
        <f t="shared" si="136"/>
        <v>3087499.8</v>
      </c>
      <c r="Q607" s="253">
        <v>0</v>
      </c>
      <c r="R607" s="144">
        <v>0</v>
      </c>
      <c r="S607" s="46" t="s">
        <v>586</v>
      </c>
      <c r="T607" s="41"/>
      <c r="U607" s="42"/>
    </row>
    <row r="608" spans="1:21" ht="9" hidden="1" customHeight="1">
      <c r="A608" s="252">
        <v>210</v>
      </c>
      <c r="B608" s="68" t="s">
        <v>909</v>
      </c>
      <c r="C608" s="46" t="s">
        <v>1126</v>
      </c>
      <c r="D608" s="119" t="s">
        <v>1125</v>
      </c>
      <c r="E608" s="145" t="s">
        <v>593</v>
      </c>
      <c r="F608" s="145" t="s">
        <v>87</v>
      </c>
      <c r="G608" s="44">
        <v>2</v>
      </c>
      <c r="H608" s="44">
        <v>1</v>
      </c>
      <c r="I608" s="144">
        <v>323.10000000000002</v>
      </c>
      <c r="J608" s="144">
        <v>292.3</v>
      </c>
      <c r="K608" s="44">
        <v>15</v>
      </c>
      <c r="L608" s="117">
        <f>'Приложение 2 КСП 2018-2019 гг'!G610</f>
        <v>867746.88</v>
      </c>
      <c r="M608" s="253">
        <v>0</v>
      </c>
      <c r="N608" s="253">
        <v>0</v>
      </c>
      <c r="O608" s="253">
        <v>0</v>
      </c>
      <c r="P608" s="253">
        <f t="shared" si="136"/>
        <v>867746.88</v>
      </c>
      <c r="Q608" s="253">
        <v>0</v>
      </c>
      <c r="R608" s="144">
        <v>0</v>
      </c>
      <c r="S608" s="46" t="s">
        <v>586</v>
      </c>
      <c r="T608" s="41"/>
      <c r="U608" s="42"/>
    </row>
    <row r="609" spans="1:21" ht="9" hidden="1" customHeight="1">
      <c r="A609" s="252">
        <v>211</v>
      </c>
      <c r="B609" s="68" t="s">
        <v>910</v>
      </c>
      <c r="C609" s="46" t="s">
        <v>1126</v>
      </c>
      <c r="D609" s="119" t="s">
        <v>1125</v>
      </c>
      <c r="E609" s="145" t="s">
        <v>741</v>
      </c>
      <c r="F609" s="145" t="s">
        <v>87</v>
      </c>
      <c r="G609" s="44">
        <v>5</v>
      </c>
      <c r="H609" s="44">
        <v>2</v>
      </c>
      <c r="I609" s="144">
        <v>2219.9</v>
      </c>
      <c r="J609" s="144">
        <v>1702.9</v>
      </c>
      <c r="K609" s="44">
        <v>122</v>
      </c>
      <c r="L609" s="117">
        <f>'Приложение 2 КСП 2018-2019 гг'!G611</f>
        <v>2102100</v>
      </c>
      <c r="M609" s="253">
        <v>0</v>
      </c>
      <c r="N609" s="253">
        <v>0</v>
      </c>
      <c r="O609" s="253">
        <v>0</v>
      </c>
      <c r="P609" s="253">
        <f t="shared" si="136"/>
        <v>2102100</v>
      </c>
      <c r="Q609" s="253">
        <v>0</v>
      </c>
      <c r="R609" s="144">
        <v>0</v>
      </c>
      <c r="S609" s="46" t="s">
        <v>586</v>
      </c>
      <c r="T609" s="41"/>
      <c r="U609" s="42"/>
    </row>
    <row r="610" spans="1:21" ht="9" hidden="1" customHeight="1">
      <c r="A610" s="252">
        <v>212</v>
      </c>
      <c r="B610" s="68" t="s">
        <v>911</v>
      </c>
      <c r="C610" s="46" t="s">
        <v>1126</v>
      </c>
      <c r="D610" s="119" t="s">
        <v>1125</v>
      </c>
      <c r="E610" s="145" t="s">
        <v>587</v>
      </c>
      <c r="F610" s="145" t="s">
        <v>87</v>
      </c>
      <c r="G610" s="44">
        <v>4</v>
      </c>
      <c r="H610" s="44">
        <v>2</v>
      </c>
      <c r="I610" s="144">
        <v>1623</v>
      </c>
      <c r="J610" s="144">
        <v>1233</v>
      </c>
      <c r="K610" s="44">
        <v>30</v>
      </c>
      <c r="L610" s="117">
        <f>'Приложение 2 КСП 2018-2019 гг'!G612</f>
        <v>1798104</v>
      </c>
      <c r="M610" s="253">
        <v>0</v>
      </c>
      <c r="N610" s="253">
        <v>0</v>
      </c>
      <c r="O610" s="253">
        <v>0</v>
      </c>
      <c r="P610" s="253">
        <f t="shared" si="136"/>
        <v>1798104</v>
      </c>
      <c r="Q610" s="253">
        <v>0</v>
      </c>
      <c r="R610" s="144">
        <v>0</v>
      </c>
      <c r="S610" s="46" t="s">
        <v>586</v>
      </c>
      <c r="T610" s="41"/>
      <c r="U610" s="42"/>
    </row>
    <row r="611" spans="1:21" ht="25.5" hidden="1" customHeight="1">
      <c r="A611" s="599" t="s">
        <v>424</v>
      </c>
      <c r="B611" s="599"/>
      <c r="C611" s="46"/>
      <c r="D611" s="142"/>
      <c r="E611" s="54" t="s">
        <v>387</v>
      </c>
      <c r="F611" s="54" t="s">
        <v>387</v>
      </c>
      <c r="G611" s="54" t="s">
        <v>387</v>
      </c>
      <c r="H611" s="54" t="s">
        <v>387</v>
      </c>
      <c r="I611" s="225">
        <f>SUM(I605:I610)</f>
        <v>9020.9</v>
      </c>
      <c r="J611" s="225">
        <f t="shared" ref="J611:R611" si="137">SUM(J605:J610)</f>
        <v>7121.9</v>
      </c>
      <c r="K611" s="47">
        <f t="shared" si="137"/>
        <v>512</v>
      </c>
      <c r="L611" s="225">
        <f t="shared" si="137"/>
        <v>11412850.68</v>
      </c>
      <c r="M611" s="225">
        <f t="shared" si="137"/>
        <v>0</v>
      </c>
      <c r="N611" s="225">
        <f t="shared" si="137"/>
        <v>0</v>
      </c>
      <c r="O611" s="225">
        <f t="shared" si="137"/>
        <v>0</v>
      </c>
      <c r="P611" s="225">
        <f t="shared" si="137"/>
        <v>11412850.68</v>
      </c>
      <c r="Q611" s="225">
        <f t="shared" si="137"/>
        <v>0</v>
      </c>
      <c r="R611" s="225">
        <f t="shared" si="137"/>
        <v>0</v>
      </c>
      <c r="S611" s="144"/>
      <c r="T611" s="143"/>
      <c r="U611" s="42"/>
    </row>
    <row r="612" spans="1:21" ht="9" hidden="1" customHeight="1">
      <c r="A612" s="502" t="s">
        <v>342</v>
      </c>
      <c r="B612" s="502"/>
      <c r="C612" s="502"/>
      <c r="D612" s="502"/>
      <c r="E612" s="502"/>
      <c r="F612" s="502"/>
      <c r="G612" s="502"/>
      <c r="H612" s="502"/>
      <c r="I612" s="502"/>
      <c r="J612" s="502"/>
      <c r="K612" s="502"/>
      <c r="L612" s="502"/>
      <c r="M612" s="502"/>
      <c r="N612" s="502"/>
      <c r="O612" s="502"/>
      <c r="P612" s="502"/>
      <c r="Q612" s="502"/>
      <c r="R612" s="502"/>
      <c r="S612" s="502"/>
      <c r="T612" s="162"/>
      <c r="U612" s="162"/>
    </row>
    <row r="613" spans="1:21" ht="9" hidden="1" customHeight="1">
      <c r="A613" s="145">
        <v>213</v>
      </c>
      <c r="B613" s="68" t="s">
        <v>915</v>
      </c>
      <c r="C613" s="46" t="s">
        <v>1126</v>
      </c>
      <c r="D613" s="119" t="s">
        <v>1125</v>
      </c>
      <c r="E613" s="145" t="s">
        <v>612</v>
      </c>
      <c r="F613" s="145" t="s">
        <v>87</v>
      </c>
      <c r="G613" s="44">
        <v>2</v>
      </c>
      <c r="H613" s="44">
        <v>3</v>
      </c>
      <c r="I613" s="144">
        <v>965.8</v>
      </c>
      <c r="J613" s="144">
        <v>878.5</v>
      </c>
      <c r="K613" s="44">
        <v>42</v>
      </c>
      <c r="L613" s="117">
        <f>'Приложение 2 КСП 2018-2019 гг'!G615</f>
        <v>2728687.5</v>
      </c>
      <c r="M613" s="253">
        <v>0</v>
      </c>
      <c r="N613" s="253">
        <v>0</v>
      </c>
      <c r="O613" s="253">
        <v>0</v>
      </c>
      <c r="P613" s="253">
        <f t="shared" ref="P613:P614" si="138">L613</f>
        <v>2728687.5</v>
      </c>
      <c r="Q613" s="253">
        <v>0</v>
      </c>
      <c r="R613" s="253">
        <v>0</v>
      </c>
      <c r="S613" s="46" t="s">
        <v>586</v>
      </c>
      <c r="T613" s="41"/>
      <c r="U613" s="42"/>
    </row>
    <row r="614" spans="1:21" ht="9" hidden="1" customHeight="1">
      <c r="A614" s="145">
        <v>214</v>
      </c>
      <c r="B614" s="68" t="s">
        <v>916</v>
      </c>
      <c r="C614" s="46" t="s">
        <v>1126</v>
      </c>
      <c r="D614" s="119" t="s">
        <v>1125</v>
      </c>
      <c r="E614" s="145" t="s">
        <v>296</v>
      </c>
      <c r="F614" s="145" t="s">
        <v>87</v>
      </c>
      <c r="G614" s="44">
        <v>2</v>
      </c>
      <c r="H614" s="44">
        <v>3</v>
      </c>
      <c r="I614" s="144">
        <v>1018.8</v>
      </c>
      <c r="J614" s="144">
        <v>942.74</v>
      </c>
      <c r="K614" s="44">
        <v>68</v>
      </c>
      <c r="L614" s="117">
        <f>'Приложение 2 КСП 2018-2019 гг'!G616</f>
        <v>3178375.2</v>
      </c>
      <c r="M614" s="253">
        <v>0</v>
      </c>
      <c r="N614" s="253">
        <v>0</v>
      </c>
      <c r="O614" s="253">
        <v>0</v>
      </c>
      <c r="P614" s="253">
        <f t="shared" si="138"/>
        <v>3178375.2</v>
      </c>
      <c r="Q614" s="253">
        <v>0</v>
      </c>
      <c r="R614" s="253">
        <v>0</v>
      </c>
      <c r="S614" s="46" t="s">
        <v>586</v>
      </c>
      <c r="T614" s="41"/>
      <c r="U614" s="42"/>
    </row>
    <row r="615" spans="1:21" ht="38.25" hidden="1" customHeight="1">
      <c r="A615" s="599" t="s">
        <v>996</v>
      </c>
      <c r="B615" s="599"/>
      <c r="C615" s="46"/>
      <c r="D615" s="142"/>
      <c r="E615" s="54" t="s">
        <v>387</v>
      </c>
      <c r="F615" s="54" t="s">
        <v>387</v>
      </c>
      <c r="G615" s="54" t="s">
        <v>387</v>
      </c>
      <c r="H615" s="54" t="s">
        <v>387</v>
      </c>
      <c r="I615" s="225">
        <f>SUM(I613:I614)</f>
        <v>1984.6</v>
      </c>
      <c r="J615" s="225">
        <f t="shared" ref="J615:R615" si="139">SUM(J613:J614)</f>
        <v>1821.24</v>
      </c>
      <c r="K615" s="47">
        <f t="shared" si="139"/>
        <v>110</v>
      </c>
      <c r="L615" s="225">
        <f t="shared" si="139"/>
        <v>5907062.7000000002</v>
      </c>
      <c r="M615" s="225">
        <f t="shared" si="139"/>
        <v>0</v>
      </c>
      <c r="N615" s="225">
        <f t="shared" si="139"/>
        <v>0</v>
      </c>
      <c r="O615" s="225">
        <f t="shared" si="139"/>
        <v>0</v>
      </c>
      <c r="P615" s="225">
        <f t="shared" si="139"/>
        <v>5907062.7000000002</v>
      </c>
      <c r="Q615" s="225">
        <f t="shared" si="139"/>
        <v>0</v>
      </c>
      <c r="R615" s="225">
        <f t="shared" si="139"/>
        <v>0</v>
      </c>
      <c r="S615" s="144"/>
      <c r="T615" s="143"/>
      <c r="U615" s="42"/>
    </row>
    <row r="616" spans="1:21" ht="9" hidden="1" customHeight="1">
      <c r="A616" s="502" t="s">
        <v>421</v>
      </c>
      <c r="B616" s="502"/>
      <c r="C616" s="502"/>
      <c r="D616" s="502"/>
      <c r="E616" s="502"/>
      <c r="F616" s="502"/>
      <c r="G616" s="502"/>
      <c r="H616" s="502"/>
      <c r="I616" s="502"/>
      <c r="J616" s="502"/>
      <c r="K616" s="502"/>
      <c r="L616" s="502"/>
      <c r="M616" s="502"/>
      <c r="N616" s="502"/>
      <c r="O616" s="502"/>
      <c r="P616" s="502"/>
      <c r="Q616" s="502"/>
      <c r="R616" s="502"/>
      <c r="S616" s="502"/>
      <c r="T616" s="162"/>
      <c r="U616" s="162"/>
    </row>
    <row r="617" spans="1:21" ht="9" hidden="1" customHeight="1">
      <c r="A617" s="145">
        <v>215</v>
      </c>
      <c r="B617" s="68" t="s">
        <v>918</v>
      </c>
      <c r="C617" s="46" t="s">
        <v>1126</v>
      </c>
      <c r="D617" s="119" t="s">
        <v>1125</v>
      </c>
      <c r="E617" s="145" t="s">
        <v>613</v>
      </c>
      <c r="F617" s="145" t="s">
        <v>87</v>
      </c>
      <c r="G617" s="44">
        <v>2</v>
      </c>
      <c r="H617" s="44">
        <v>2</v>
      </c>
      <c r="I617" s="144">
        <v>647</v>
      </c>
      <c r="J617" s="144">
        <v>567.1</v>
      </c>
      <c r="K617" s="44">
        <v>30</v>
      </c>
      <c r="L617" s="117">
        <f>'Приложение 2 КСП 2018-2019 гг'!G619</f>
        <v>2003463</v>
      </c>
      <c r="M617" s="253">
        <v>0</v>
      </c>
      <c r="N617" s="253">
        <v>0</v>
      </c>
      <c r="O617" s="253">
        <v>0</v>
      </c>
      <c r="P617" s="253">
        <f t="shared" ref="P617" si="140">L617</f>
        <v>2003463</v>
      </c>
      <c r="Q617" s="253">
        <v>0</v>
      </c>
      <c r="R617" s="253">
        <v>0</v>
      </c>
      <c r="S617" s="46" t="s">
        <v>586</v>
      </c>
      <c r="T617" s="41"/>
      <c r="U617" s="42"/>
    </row>
    <row r="618" spans="1:21" ht="22.5" hidden="1" customHeight="1">
      <c r="A618" s="599" t="s">
        <v>420</v>
      </c>
      <c r="B618" s="599"/>
      <c r="C618" s="46"/>
      <c r="D618" s="142"/>
      <c r="E618" s="54" t="s">
        <v>387</v>
      </c>
      <c r="F618" s="54" t="s">
        <v>387</v>
      </c>
      <c r="G618" s="54" t="s">
        <v>387</v>
      </c>
      <c r="H618" s="54" t="s">
        <v>387</v>
      </c>
      <c r="I618" s="225">
        <f>SUM(I617)</f>
        <v>647</v>
      </c>
      <c r="J618" s="225">
        <f t="shared" ref="J618:R618" si="141">SUM(J617)</f>
        <v>567.1</v>
      </c>
      <c r="K618" s="47">
        <f t="shared" si="141"/>
        <v>30</v>
      </c>
      <c r="L618" s="225">
        <f t="shared" si="141"/>
        <v>2003463</v>
      </c>
      <c r="M618" s="225">
        <f t="shared" si="141"/>
        <v>0</v>
      </c>
      <c r="N618" s="225">
        <f t="shared" si="141"/>
        <v>0</v>
      </c>
      <c r="O618" s="225">
        <f t="shared" si="141"/>
        <v>0</v>
      </c>
      <c r="P618" s="225">
        <f t="shared" si="141"/>
        <v>2003463</v>
      </c>
      <c r="Q618" s="225">
        <f t="shared" si="141"/>
        <v>0</v>
      </c>
      <c r="R618" s="225">
        <f t="shared" si="141"/>
        <v>0</v>
      </c>
      <c r="S618" s="144"/>
      <c r="T618" s="41"/>
      <c r="U618" s="41"/>
    </row>
    <row r="619" spans="1:21" ht="9.75" hidden="1" customHeight="1">
      <c r="A619" s="502" t="s">
        <v>349</v>
      </c>
      <c r="B619" s="502"/>
      <c r="C619" s="502"/>
      <c r="D619" s="502"/>
      <c r="E619" s="502"/>
      <c r="F619" s="502"/>
      <c r="G619" s="502"/>
      <c r="H619" s="502"/>
      <c r="I619" s="502"/>
      <c r="J619" s="502"/>
      <c r="K619" s="502"/>
      <c r="L619" s="502"/>
      <c r="M619" s="502"/>
      <c r="N619" s="502"/>
      <c r="O619" s="502"/>
      <c r="P619" s="502"/>
      <c r="Q619" s="502"/>
      <c r="R619" s="502"/>
      <c r="S619" s="502"/>
      <c r="T619" s="162"/>
      <c r="U619" s="162"/>
    </row>
    <row r="620" spans="1:21" ht="9" hidden="1" customHeight="1">
      <c r="A620" s="145">
        <v>216</v>
      </c>
      <c r="B620" s="142" t="s">
        <v>920</v>
      </c>
      <c r="C620" s="46" t="s">
        <v>1126</v>
      </c>
      <c r="D620" s="119" t="s">
        <v>1125</v>
      </c>
      <c r="E620" s="145" t="s">
        <v>105</v>
      </c>
      <c r="F620" s="145" t="s">
        <v>87</v>
      </c>
      <c r="G620" s="44">
        <v>2</v>
      </c>
      <c r="H620" s="44">
        <v>1</v>
      </c>
      <c r="I620" s="145">
        <v>286.62</v>
      </c>
      <c r="J620" s="145">
        <v>265.62</v>
      </c>
      <c r="K620" s="44">
        <v>6</v>
      </c>
      <c r="L620" s="117">
        <f>'Приложение 2 КСП 2018-2019 гг'!G622</f>
        <v>908754</v>
      </c>
      <c r="M620" s="253">
        <v>0</v>
      </c>
      <c r="N620" s="253">
        <v>0</v>
      </c>
      <c r="O620" s="253">
        <v>0</v>
      </c>
      <c r="P620" s="253">
        <f t="shared" ref="P620:P621" si="142">L620</f>
        <v>908754</v>
      </c>
      <c r="Q620" s="253">
        <v>0</v>
      </c>
      <c r="R620" s="253">
        <v>0</v>
      </c>
      <c r="S620" s="46" t="s">
        <v>586</v>
      </c>
      <c r="T620" s="41"/>
      <c r="U620" s="42"/>
    </row>
    <row r="621" spans="1:21" ht="9" hidden="1" customHeight="1">
      <c r="A621" s="145">
        <v>217</v>
      </c>
      <c r="B621" s="142" t="s">
        <v>921</v>
      </c>
      <c r="C621" s="46" t="s">
        <v>1126</v>
      </c>
      <c r="D621" s="119" t="s">
        <v>1125</v>
      </c>
      <c r="E621" s="145" t="s">
        <v>742</v>
      </c>
      <c r="F621" s="145" t="s">
        <v>89</v>
      </c>
      <c r="G621" s="44">
        <v>2</v>
      </c>
      <c r="H621" s="44">
        <v>2</v>
      </c>
      <c r="I621" s="144">
        <v>679.66</v>
      </c>
      <c r="J621" s="144">
        <v>641.38</v>
      </c>
      <c r="K621" s="44">
        <v>21</v>
      </c>
      <c r="L621" s="117">
        <f>'Приложение 2 КСП 2018-2019 гг'!G623</f>
        <v>1817508</v>
      </c>
      <c r="M621" s="253">
        <v>0</v>
      </c>
      <c r="N621" s="253">
        <v>0</v>
      </c>
      <c r="O621" s="253">
        <v>0</v>
      </c>
      <c r="P621" s="253">
        <f t="shared" si="142"/>
        <v>1817508</v>
      </c>
      <c r="Q621" s="253">
        <v>0</v>
      </c>
      <c r="R621" s="253">
        <v>0</v>
      </c>
      <c r="S621" s="46" t="s">
        <v>586</v>
      </c>
      <c r="T621" s="41"/>
      <c r="U621" s="42"/>
    </row>
    <row r="622" spans="1:21" ht="24.75" hidden="1" customHeight="1">
      <c r="A622" s="599" t="s">
        <v>348</v>
      </c>
      <c r="B622" s="599"/>
      <c r="C622" s="46"/>
      <c r="D622" s="142"/>
      <c r="E622" s="54" t="s">
        <v>387</v>
      </c>
      <c r="F622" s="54" t="s">
        <v>387</v>
      </c>
      <c r="G622" s="54" t="s">
        <v>387</v>
      </c>
      <c r="H622" s="54" t="s">
        <v>387</v>
      </c>
      <c r="I622" s="54">
        <f>SUM(I620:I621)</f>
        <v>966.28</v>
      </c>
      <c r="J622" s="55">
        <f t="shared" ref="J622:R622" si="143">SUM(J620:J621)</f>
        <v>907</v>
      </c>
      <c r="K622" s="54">
        <f t="shared" si="143"/>
        <v>27</v>
      </c>
      <c r="L622" s="101">
        <f t="shared" si="143"/>
        <v>2726262</v>
      </c>
      <c r="M622" s="55">
        <f t="shared" si="143"/>
        <v>0</v>
      </c>
      <c r="N622" s="55">
        <f t="shared" si="143"/>
        <v>0</v>
      </c>
      <c r="O622" s="55">
        <f t="shared" si="143"/>
        <v>0</v>
      </c>
      <c r="P622" s="55">
        <f t="shared" si="143"/>
        <v>2726262</v>
      </c>
      <c r="Q622" s="55">
        <f t="shared" si="143"/>
        <v>0</v>
      </c>
      <c r="R622" s="55">
        <f t="shared" si="143"/>
        <v>0</v>
      </c>
      <c r="S622" s="144"/>
      <c r="T622" s="41"/>
      <c r="U622" s="42"/>
    </row>
    <row r="623" spans="1:21" ht="9" hidden="1" customHeight="1">
      <c r="A623" s="502" t="s">
        <v>429</v>
      </c>
      <c r="B623" s="502"/>
      <c r="C623" s="502"/>
      <c r="D623" s="502"/>
      <c r="E623" s="502"/>
      <c r="F623" s="502"/>
      <c r="G623" s="502"/>
      <c r="H623" s="502"/>
      <c r="I623" s="502"/>
      <c r="J623" s="502"/>
      <c r="K623" s="502"/>
      <c r="L623" s="502"/>
      <c r="M623" s="502"/>
      <c r="N623" s="502"/>
      <c r="O623" s="502"/>
      <c r="P623" s="502"/>
      <c r="Q623" s="502"/>
      <c r="R623" s="502"/>
      <c r="S623" s="502"/>
      <c r="T623" s="162"/>
      <c r="U623" s="162"/>
    </row>
    <row r="624" spans="1:21" ht="9" hidden="1" customHeight="1">
      <c r="A624" s="96">
        <v>218</v>
      </c>
      <c r="B624" s="97" t="s">
        <v>922</v>
      </c>
      <c r="C624" s="100" t="s">
        <v>1126</v>
      </c>
      <c r="D624" s="119" t="s">
        <v>1125</v>
      </c>
      <c r="E624" s="98" t="s">
        <v>604</v>
      </c>
      <c r="F624" s="98" t="s">
        <v>87</v>
      </c>
      <c r="G624" s="133">
        <v>2</v>
      </c>
      <c r="H624" s="133">
        <v>3</v>
      </c>
      <c r="I624" s="99">
        <v>1396.25</v>
      </c>
      <c r="J624" s="99">
        <v>851.45</v>
      </c>
      <c r="K624" s="98">
        <v>32</v>
      </c>
      <c r="L624" s="117">
        <f>'Приложение 2 КСП 2018-2019 гг'!G626</f>
        <v>258031.92</v>
      </c>
      <c r="M624" s="253">
        <v>0</v>
      </c>
      <c r="N624" s="253">
        <v>0</v>
      </c>
      <c r="O624" s="253">
        <v>0</v>
      </c>
      <c r="P624" s="253">
        <f t="shared" ref="P624:P626" si="144">L624</f>
        <v>258031.92</v>
      </c>
      <c r="Q624" s="253">
        <v>0</v>
      </c>
      <c r="R624" s="253">
        <v>0</v>
      </c>
      <c r="S624" s="46" t="s">
        <v>586</v>
      </c>
      <c r="T624" s="41"/>
      <c r="U624" s="42"/>
    </row>
    <row r="625" spans="1:21" ht="9" hidden="1" customHeight="1">
      <c r="A625" s="96">
        <v>219</v>
      </c>
      <c r="B625" s="97" t="s">
        <v>923</v>
      </c>
      <c r="C625" s="100" t="s">
        <v>1126</v>
      </c>
      <c r="D625" s="119" t="s">
        <v>1125</v>
      </c>
      <c r="E625" s="98" t="s">
        <v>614</v>
      </c>
      <c r="F625" s="98" t="s">
        <v>87</v>
      </c>
      <c r="G625" s="133">
        <v>2</v>
      </c>
      <c r="H625" s="133">
        <v>3</v>
      </c>
      <c r="I625" s="99">
        <v>1225.5</v>
      </c>
      <c r="J625" s="99">
        <v>869.8</v>
      </c>
      <c r="K625" s="133">
        <v>39</v>
      </c>
      <c r="L625" s="117">
        <f>'Приложение 2 КСП 2018-2019 гг'!G627</f>
        <v>2193489.5</v>
      </c>
      <c r="M625" s="253">
        <v>0</v>
      </c>
      <c r="N625" s="253">
        <v>0</v>
      </c>
      <c r="O625" s="253">
        <v>0</v>
      </c>
      <c r="P625" s="253">
        <f t="shared" si="144"/>
        <v>2193489.5</v>
      </c>
      <c r="Q625" s="253">
        <v>0</v>
      </c>
      <c r="R625" s="253">
        <v>0</v>
      </c>
      <c r="S625" s="46" t="s">
        <v>586</v>
      </c>
      <c r="T625" s="41"/>
      <c r="U625" s="42"/>
    </row>
    <row r="626" spans="1:21" ht="9" hidden="1" customHeight="1">
      <c r="A626" s="96">
        <v>220</v>
      </c>
      <c r="B626" s="97" t="s">
        <v>924</v>
      </c>
      <c r="C626" s="100" t="s">
        <v>1126</v>
      </c>
      <c r="D626" s="119" t="s">
        <v>1125</v>
      </c>
      <c r="E626" s="98" t="s">
        <v>0</v>
      </c>
      <c r="F626" s="98" t="s">
        <v>87</v>
      </c>
      <c r="G626" s="133">
        <v>2</v>
      </c>
      <c r="H626" s="133">
        <v>3</v>
      </c>
      <c r="I626" s="99">
        <v>1122.4000000000001</v>
      </c>
      <c r="J626" s="99">
        <v>893</v>
      </c>
      <c r="K626" s="133">
        <v>48</v>
      </c>
      <c r="L626" s="117">
        <f>'Приложение 2 КСП 2018-2019 гг'!G628</f>
        <v>270623.65000000002</v>
      </c>
      <c r="M626" s="253">
        <v>0</v>
      </c>
      <c r="N626" s="253">
        <v>0</v>
      </c>
      <c r="O626" s="253">
        <v>0</v>
      </c>
      <c r="P626" s="253">
        <f t="shared" si="144"/>
        <v>270623.65000000002</v>
      </c>
      <c r="Q626" s="253">
        <v>0</v>
      </c>
      <c r="R626" s="253">
        <v>0</v>
      </c>
      <c r="S626" s="46" t="s">
        <v>586</v>
      </c>
      <c r="T626" s="41"/>
      <c r="U626" s="42"/>
    </row>
    <row r="627" spans="1:21" ht="37.5" hidden="1" customHeight="1">
      <c r="A627" s="608" t="s">
        <v>430</v>
      </c>
      <c r="B627" s="608"/>
      <c r="C627" s="100"/>
      <c r="D627" s="148"/>
      <c r="E627" s="96" t="s">
        <v>387</v>
      </c>
      <c r="F627" s="96" t="s">
        <v>387</v>
      </c>
      <c r="G627" s="96" t="s">
        <v>387</v>
      </c>
      <c r="H627" s="96" t="s">
        <v>387</v>
      </c>
      <c r="I627" s="101">
        <f>SUM(I624:I626)</f>
        <v>3744.15</v>
      </c>
      <c r="J627" s="101">
        <f t="shared" ref="J627:R627" si="145">SUM(J624:J626)</f>
        <v>2614.25</v>
      </c>
      <c r="K627" s="324">
        <f t="shared" si="145"/>
        <v>119</v>
      </c>
      <c r="L627" s="101">
        <f t="shared" si="145"/>
        <v>2722145.07</v>
      </c>
      <c r="M627" s="101">
        <f t="shared" si="145"/>
        <v>0</v>
      </c>
      <c r="N627" s="101">
        <f t="shared" si="145"/>
        <v>0</v>
      </c>
      <c r="O627" s="101">
        <f t="shared" si="145"/>
        <v>0</v>
      </c>
      <c r="P627" s="101">
        <f t="shared" si="145"/>
        <v>2722145.07</v>
      </c>
      <c r="Q627" s="101">
        <f t="shared" si="145"/>
        <v>0</v>
      </c>
      <c r="R627" s="101">
        <f t="shared" si="145"/>
        <v>0</v>
      </c>
      <c r="S627" s="144"/>
      <c r="T627" s="168"/>
      <c r="U627" s="169"/>
    </row>
    <row r="628" spans="1:21" ht="9" hidden="1" customHeight="1">
      <c r="A628" s="504" t="s">
        <v>929</v>
      </c>
      <c r="B628" s="504"/>
      <c r="C628" s="504"/>
      <c r="D628" s="504"/>
      <c r="E628" s="504"/>
      <c r="F628" s="504"/>
      <c r="G628" s="504"/>
      <c r="H628" s="504"/>
      <c r="I628" s="504"/>
      <c r="J628" s="504"/>
      <c r="K628" s="504"/>
      <c r="L628" s="504"/>
      <c r="M628" s="504"/>
      <c r="N628" s="504"/>
      <c r="O628" s="504"/>
      <c r="P628" s="504"/>
      <c r="Q628" s="504"/>
      <c r="R628" s="504"/>
      <c r="S628" s="504"/>
      <c r="T628" s="190"/>
      <c r="U628" s="190"/>
    </row>
    <row r="629" spans="1:21" ht="9" hidden="1" customHeight="1">
      <c r="A629" s="148">
        <v>221</v>
      </c>
      <c r="B629" s="148" t="s">
        <v>930</v>
      </c>
      <c r="C629" s="100" t="s">
        <v>1126</v>
      </c>
      <c r="D629" s="119" t="s">
        <v>1125</v>
      </c>
      <c r="E629" s="96" t="s">
        <v>600</v>
      </c>
      <c r="F629" s="96" t="s">
        <v>87</v>
      </c>
      <c r="G629" s="131">
        <v>2</v>
      </c>
      <c r="H629" s="131">
        <v>2</v>
      </c>
      <c r="I629" s="101">
        <v>535</v>
      </c>
      <c r="J629" s="101">
        <v>493.7</v>
      </c>
      <c r="K629" s="101">
        <v>16</v>
      </c>
      <c r="L629" s="117">
        <f>'Приложение 2 КСП 2018-2019 гг'!G631</f>
        <v>1203048</v>
      </c>
      <c r="M629" s="253">
        <v>0</v>
      </c>
      <c r="N629" s="253">
        <v>0</v>
      </c>
      <c r="O629" s="253">
        <v>0</v>
      </c>
      <c r="P629" s="253">
        <f t="shared" ref="P629" si="146">L629</f>
        <v>1203048</v>
      </c>
      <c r="Q629" s="253">
        <v>0</v>
      </c>
      <c r="R629" s="253">
        <v>0</v>
      </c>
      <c r="S629" s="46" t="s">
        <v>586</v>
      </c>
      <c r="T629" s="41"/>
      <c r="U629" s="42"/>
    </row>
    <row r="630" spans="1:21" ht="36.75" hidden="1" customHeight="1">
      <c r="A630" s="608" t="s">
        <v>931</v>
      </c>
      <c r="B630" s="608"/>
      <c r="C630" s="100"/>
      <c r="D630" s="148"/>
      <c r="E630" s="96" t="s">
        <v>387</v>
      </c>
      <c r="F630" s="96" t="s">
        <v>387</v>
      </c>
      <c r="G630" s="96" t="s">
        <v>387</v>
      </c>
      <c r="H630" s="96" t="s">
        <v>387</v>
      </c>
      <c r="I630" s="101">
        <f>SUM(I629)</f>
        <v>535</v>
      </c>
      <c r="J630" s="101">
        <f t="shared" ref="J630:R630" si="147">SUM(J629)</f>
        <v>493.7</v>
      </c>
      <c r="K630" s="324">
        <f t="shared" si="147"/>
        <v>16</v>
      </c>
      <c r="L630" s="101">
        <f t="shared" si="147"/>
        <v>1203048</v>
      </c>
      <c r="M630" s="101">
        <f t="shared" si="147"/>
        <v>0</v>
      </c>
      <c r="N630" s="101">
        <f t="shared" si="147"/>
        <v>0</v>
      </c>
      <c r="O630" s="101">
        <f t="shared" si="147"/>
        <v>0</v>
      </c>
      <c r="P630" s="101">
        <f t="shared" si="147"/>
        <v>1203048</v>
      </c>
      <c r="Q630" s="101">
        <f t="shared" si="147"/>
        <v>0</v>
      </c>
      <c r="R630" s="101">
        <f t="shared" si="147"/>
        <v>0</v>
      </c>
      <c r="S630" s="101"/>
      <c r="T630" s="168"/>
      <c r="U630" s="169"/>
    </row>
    <row r="631" spans="1:21" ht="9" hidden="1" customHeight="1">
      <c r="A631" s="502" t="s">
        <v>358</v>
      </c>
      <c r="B631" s="502"/>
      <c r="C631" s="502"/>
      <c r="D631" s="502"/>
      <c r="E631" s="502"/>
      <c r="F631" s="502"/>
      <c r="G631" s="502"/>
      <c r="H631" s="502"/>
      <c r="I631" s="502"/>
      <c r="J631" s="502"/>
      <c r="K631" s="502"/>
      <c r="L631" s="502"/>
      <c r="M631" s="502"/>
      <c r="N631" s="502"/>
      <c r="O631" s="502"/>
      <c r="P631" s="502"/>
      <c r="Q631" s="502"/>
      <c r="R631" s="502"/>
      <c r="S631" s="502"/>
      <c r="T631" s="162"/>
      <c r="U631" s="162"/>
    </row>
    <row r="632" spans="1:21" ht="9" hidden="1" customHeight="1">
      <c r="A632" s="145">
        <v>222</v>
      </c>
      <c r="B632" s="68" t="s">
        <v>1023</v>
      </c>
      <c r="C632" s="221" t="s">
        <v>1126</v>
      </c>
      <c r="D632" s="119" t="s">
        <v>1125</v>
      </c>
      <c r="E632" s="145">
        <v>1977</v>
      </c>
      <c r="F632" s="145" t="s">
        <v>87</v>
      </c>
      <c r="G632" s="44">
        <v>2</v>
      </c>
      <c r="H632" s="145">
        <v>2</v>
      </c>
      <c r="I632" s="144">
        <v>919.7</v>
      </c>
      <c r="J632" s="144">
        <v>876.1</v>
      </c>
      <c r="K632" s="44">
        <v>40</v>
      </c>
      <c r="L632" s="117">
        <f>'Приложение 2 КСП 2018-2019 гг'!G634</f>
        <v>3027024</v>
      </c>
      <c r="M632" s="253">
        <v>0</v>
      </c>
      <c r="N632" s="253">
        <v>0</v>
      </c>
      <c r="O632" s="253">
        <v>0</v>
      </c>
      <c r="P632" s="253">
        <f t="shared" ref="P632:P633" si="148">L632</f>
        <v>3027024</v>
      </c>
      <c r="Q632" s="253">
        <v>0</v>
      </c>
      <c r="R632" s="253">
        <v>0</v>
      </c>
      <c r="S632" s="46" t="s">
        <v>586</v>
      </c>
      <c r="T632" s="41"/>
      <c r="U632" s="42"/>
    </row>
    <row r="633" spans="1:21" ht="9" hidden="1" customHeight="1">
      <c r="A633" s="145">
        <v>223</v>
      </c>
      <c r="B633" s="68" t="s">
        <v>1024</v>
      </c>
      <c r="C633" s="46" t="s">
        <v>1126</v>
      </c>
      <c r="D633" s="119" t="s">
        <v>1125</v>
      </c>
      <c r="E633" s="145">
        <v>1977</v>
      </c>
      <c r="F633" s="145" t="s">
        <v>87</v>
      </c>
      <c r="G633" s="44">
        <v>2</v>
      </c>
      <c r="H633" s="145">
        <v>1</v>
      </c>
      <c r="I633" s="144">
        <v>1043.06</v>
      </c>
      <c r="J633" s="144">
        <v>504.53</v>
      </c>
      <c r="K633" s="44">
        <v>34</v>
      </c>
      <c r="L633" s="117">
        <f>'Приложение 2 КСП 2018-2019 гг'!G635</f>
        <v>1649340</v>
      </c>
      <c r="M633" s="253">
        <v>0</v>
      </c>
      <c r="N633" s="253">
        <v>0</v>
      </c>
      <c r="O633" s="253">
        <v>0</v>
      </c>
      <c r="P633" s="253">
        <f t="shared" si="148"/>
        <v>1649340</v>
      </c>
      <c r="Q633" s="253">
        <v>0</v>
      </c>
      <c r="R633" s="253">
        <v>0</v>
      </c>
      <c r="S633" s="46" t="s">
        <v>586</v>
      </c>
      <c r="T633" s="41"/>
      <c r="U633" s="42"/>
    </row>
    <row r="634" spans="1:21" ht="35.25" hidden="1" customHeight="1">
      <c r="A634" s="599" t="s">
        <v>446</v>
      </c>
      <c r="B634" s="599"/>
      <c r="C634" s="46"/>
      <c r="D634" s="142"/>
      <c r="E634" s="54" t="s">
        <v>387</v>
      </c>
      <c r="F634" s="54" t="s">
        <v>387</v>
      </c>
      <c r="G634" s="54" t="s">
        <v>387</v>
      </c>
      <c r="H634" s="54" t="s">
        <v>387</v>
      </c>
      <c r="I634" s="225">
        <f>SUM(I632:I633)</f>
        <v>1962.76</v>
      </c>
      <c r="J634" s="225">
        <f t="shared" ref="J634:R634" si="149">SUM(J632:J633)</f>
        <v>1380.63</v>
      </c>
      <c r="K634" s="47">
        <f t="shared" si="149"/>
        <v>74</v>
      </c>
      <c r="L634" s="225">
        <f t="shared" si="149"/>
        <v>4676364</v>
      </c>
      <c r="M634" s="225">
        <f t="shared" si="149"/>
        <v>0</v>
      </c>
      <c r="N634" s="225">
        <f t="shared" si="149"/>
        <v>0</v>
      </c>
      <c r="O634" s="225">
        <f t="shared" si="149"/>
        <v>0</v>
      </c>
      <c r="P634" s="225">
        <f t="shared" si="149"/>
        <v>4676364</v>
      </c>
      <c r="Q634" s="225">
        <f t="shared" si="149"/>
        <v>0</v>
      </c>
      <c r="R634" s="225">
        <f t="shared" si="149"/>
        <v>0</v>
      </c>
      <c r="S634" s="144"/>
      <c r="T634" s="41"/>
      <c r="U634" s="42"/>
    </row>
    <row r="635" spans="1:21" ht="9" hidden="1" customHeight="1">
      <c r="A635" s="502" t="s">
        <v>427</v>
      </c>
      <c r="B635" s="502"/>
      <c r="C635" s="502"/>
      <c r="D635" s="502"/>
      <c r="E635" s="502"/>
      <c r="F635" s="502"/>
      <c r="G635" s="502"/>
      <c r="H635" s="502"/>
      <c r="I635" s="502"/>
      <c r="J635" s="502"/>
      <c r="K635" s="502"/>
      <c r="L635" s="502"/>
      <c r="M635" s="502"/>
      <c r="N635" s="502"/>
      <c r="O635" s="502"/>
      <c r="P635" s="502"/>
      <c r="Q635" s="502"/>
      <c r="R635" s="502"/>
      <c r="S635" s="502"/>
      <c r="T635" s="162"/>
      <c r="U635" s="162"/>
    </row>
    <row r="636" spans="1:21" ht="9" hidden="1" customHeight="1">
      <c r="A636" s="145">
        <v>224</v>
      </c>
      <c r="B636" s="68" t="s">
        <v>934</v>
      </c>
      <c r="C636" s="46" t="s">
        <v>1126</v>
      </c>
      <c r="D636" s="119" t="s">
        <v>1125</v>
      </c>
      <c r="E636" s="145" t="s">
        <v>596</v>
      </c>
      <c r="F636" s="145" t="s">
        <v>87</v>
      </c>
      <c r="G636" s="44">
        <v>2</v>
      </c>
      <c r="H636" s="44">
        <v>1</v>
      </c>
      <c r="I636" s="61">
        <v>393.4</v>
      </c>
      <c r="J636" s="61">
        <v>362.5</v>
      </c>
      <c r="K636" s="44">
        <v>25</v>
      </c>
      <c r="L636" s="117">
        <f>'Приложение 2 КСП 2018-2019 гг'!G638</f>
        <v>1002216.6</v>
      </c>
      <c r="M636" s="253">
        <v>0</v>
      </c>
      <c r="N636" s="253">
        <v>0</v>
      </c>
      <c r="O636" s="253">
        <v>0</v>
      </c>
      <c r="P636" s="253">
        <f>L636</f>
        <v>1002216.6</v>
      </c>
      <c r="Q636" s="253">
        <v>0</v>
      </c>
      <c r="R636" s="253">
        <v>0</v>
      </c>
      <c r="S636" s="46" t="s">
        <v>586</v>
      </c>
      <c r="T636" s="41"/>
      <c r="U636" s="42"/>
    </row>
    <row r="637" spans="1:21" ht="9" hidden="1" customHeight="1">
      <c r="A637" s="145">
        <v>225</v>
      </c>
      <c r="B637" s="68" t="s">
        <v>935</v>
      </c>
      <c r="C637" s="46" t="s">
        <v>1126</v>
      </c>
      <c r="D637" s="119" t="s">
        <v>1125</v>
      </c>
      <c r="E637" s="145" t="s">
        <v>604</v>
      </c>
      <c r="F637" s="145" t="s">
        <v>87</v>
      </c>
      <c r="G637" s="44">
        <v>2</v>
      </c>
      <c r="H637" s="44">
        <v>3</v>
      </c>
      <c r="I637" s="61">
        <v>960.5</v>
      </c>
      <c r="J637" s="61">
        <v>974</v>
      </c>
      <c r="K637" s="44">
        <v>35</v>
      </c>
      <c r="L637" s="117">
        <f>'Приложение 2 КСП 2018-2019 гг'!G639</f>
        <v>2003139.6</v>
      </c>
      <c r="M637" s="253">
        <v>0</v>
      </c>
      <c r="N637" s="253">
        <v>0</v>
      </c>
      <c r="O637" s="253">
        <v>0</v>
      </c>
      <c r="P637" s="253">
        <f t="shared" ref="P637" si="150">L637</f>
        <v>2003139.6</v>
      </c>
      <c r="Q637" s="253">
        <v>0</v>
      </c>
      <c r="R637" s="253">
        <v>0</v>
      </c>
      <c r="S637" s="46" t="s">
        <v>586</v>
      </c>
      <c r="T637" s="41"/>
      <c r="U637" s="42"/>
    </row>
    <row r="638" spans="1:21" ht="35.25" hidden="1" customHeight="1">
      <c r="A638" s="599" t="s">
        <v>428</v>
      </c>
      <c r="B638" s="599"/>
      <c r="C638" s="46"/>
      <c r="D638" s="142"/>
      <c r="E638" s="54" t="s">
        <v>387</v>
      </c>
      <c r="F638" s="54" t="s">
        <v>387</v>
      </c>
      <c r="G638" s="54" t="s">
        <v>387</v>
      </c>
      <c r="H638" s="54" t="s">
        <v>387</v>
      </c>
      <c r="I638" s="55">
        <f>SUM(I636:I637)</f>
        <v>1353.9</v>
      </c>
      <c r="J638" s="55">
        <f t="shared" ref="J638:R638" si="151">SUM(J636:J637)</f>
        <v>1336.5</v>
      </c>
      <c r="K638" s="47">
        <f t="shared" si="151"/>
        <v>60</v>
      </c>
      <c r="L638" s="225">
        <f t="shared" si="151"/>
        <v>3005356.2</v>
      </c>
      <c r="M638" s="55">
        <f t="shared" si="151"/>
        <v>0</v>
      </c>
      <c r="N638" s="55">
        <f t="shared" si="151"/>
        <v>0</v>
      </c>
      <c r="O638" s="55">
        <f t="shared" si="151"/>
        <v>0</v>
      </c>
      <c r="P638" s="55">
        <f t="shared" si="151"/>
        <v>3005356.2</v>
      </c>
      <c r="Q638" s="55">
        <f t="shared" si="151"/>
        <v>0</v>
      </c>
      <c r="R638" s="55">
        <f t="shared" si="151"/>
        <v>0</v>
      </c>
      <c r="S638" s="144"/>
      <c r="T638" s="41"/>
      <c r="U638" s="42"/>
    </row>
    <row r="639" spans="1:21" ht="9" hidden="1" customHeight="1">
      <c r="A639" s="507" t="s">
        <v>2</v>
      </c>
      <c r="B639" s="507"/>
      <c r="C639" s="507"/>
      <c r="D639" s="507"/>
      <c r="E639" s="507"/>
      <c r="F639" s="507"/>
      <c r="G639" s="507"/>
      <c r="H639" s="507"/>
      <c r="I639" s="507"/>
      <c r="J639" s="507"/>
      <c r="K639" s="507"/>
      <c r="L639" s="507"/>
      <c r="M639" s="507"/>
      <c r="N639" s="507"/>
      <c r="O639" s="507"/>
      <c r="P639" s="507"/>
      <c r="Q639" s="507"/>
      <c r="R639" s="507"/>
      <c r="S639" s="507"/>
      <c r="T639" s="192"/>
      <c r="U639" s="192"/>
    </row>
    <row r="640" spans="1:21" ht="9" hidden="1" customHeight="1">
      <c r="A640" s="103">
        <v>226</v>
      </c>
      <c r="B640" s="104" t="s">
        <v>938</v>
      </c>
      <c r="C640" s="108" t="s">
        <v>1126</v>
      </c>
      <c r="D640" s="119" t="s">
        <v>1125</v>
      </c>
      <c r="E640" s="103" t="s">
        <v>608</v>
      </c>
      <c r="F640" s="103" t="s">
        <v>87</v>
      </c>
      <c r="G640" s="132">
        <v>2</v>
      </c>
      <c r="H640" s="132">
        <v>3</v>
      </c>
      <c r="I640" s="107">
        <v>1144.96</v>
      </c>
      <c r="J640" s="107">
        <v>1072.3800000000001</v>
      </c>
      <c r="K640" s="107">
        <v>20</v>
      </c>
      <c r="L640" s="117">
        <f>'Приложение 2 КСП 2018-2019 гг'!G642</f>
        <v>2858856</v>
      </c>
      <c r="M640" s="253">
        <v>0</v>
      </c>
      <c r="N640" s="253">
        <v>0</v>
      </c>
      <c r="O640" s="253">
        <v>0</v>
      </c>
      <c r="P640" s="253">
        <f t="shared" ref="P640" si="152">L640</f>
        <v>2858856</v>
      </c>
      <c r="Q640" s="253">
        <v>0</v>
      </c>
      <c r="R640" s="253">
        <v>0</v>
      </c>
      <c r="S640" s="46" t="s">
        <v>586</v>
      </c>
      <c r="T640" s="41"/>
      <c r="U640" s="42"/>
    </row>
    <row r="641" spans="1:22" ht="24" hidden="1" customHeight="1">
      <c r="A641" s="609" t="s">
        <v>5</v>
      </c>
      <c r="B641" s="609"/>
      <c r="C641" s="108"/>
      <c r="D641" s="149"/>
      <c r="E641" s="54" t="s">
        <v>387</v>
      </c>
      <c r="F641" s="54" t="s">
        <v>387</v>
      </c>
      <c r="G641" s="54" t="s">
        <v>387</v>
      </c>
      <c r="H641" s="54" t="s">
        <v>387</v>
      </c>
      <c r="I641" s="225">
        <f>SUM(I640)</f>
        <v>1144.96</v>
      </c>
      <c r="J641" s="225">
        <f t="shared" ref="J641:R641" si="153">SUM(J640)</f>
        <v>1072.3800000000001</v>
      </c>
      <c r="K641" s="47">
        <f t="shared" si="153"/>
        <v>20</v>
      </c>
      <c r="L641" s="225">
        <f t="shared" si="153"/>
        <v>2858856</v>
      </c>
      <c r="M641" s="225">
        <f t="shared" si="153"/>
        <v>0</v>
      </c>
      <c r="N641" s="225">
        <f t="shared" si="153"/>
        <v>0</v>
      </c>
      <c r="O641" s="225">
        <f t="shared" si="153"/>
        <v>0</v>
      </c>
      <c r="P641" s="225">
        <f t="shared" si="153"/>
        <v>2858856</v>
      </c>
      <c r="Q641" s="225">
        <f t="shared" si="153"/>
        <v>0</v>
      </c>
      <c r="R641" s="225">
        <f t="shared" si="153"/>
        <v>0</v>
      </c>
      <c r="S641" s="107"/>
      <c r="T641" s="170"/>
      <c r="U641" s="171"/>
      <c r="V641" s="161"/>
    </row>
    <row r="642" spans="1:22" ht="9" hidden="1" customHeight="1">
      <c r="A642" s="504" t="s">
        <v>10</v>
      </c>
      <c r="B642" s="504"/>
      <c r="C642" s="504"/>
      <c r="D642" s="504"/>
      <c r="E642" s="504"/>
      <c r="F642" s="504"/>
      <c r="G642" s="504"/>
      <c r="H642" s="504"/>
      <c r="I642" s="504"/>
      <c r="J642" s="504"/>
      <c r="K642" s="504"/>
      <c r="L642" s="504"/>
      <c r="M642" s="504"/>
      <c r="N642" s="504"/>
      <c r="O642" s="504"/>
      <c r="P642" s="504"/>
      <c r="Q642" s="504"/>
      <c r="R642" s="504"/>
      <c r="S642" s="504"/>
      <c r="T642" s="190"/>
      <c r="U642" s="190"/>
      <c r="V642" s="161"/>
    </row>
    <row r="643" spans="1:22" ht="9" hidden="1" customHeight="1">
      <c r="A643" s="78">
        <v>227</v>
      </c>
      <c r="B643" s="82" t="s">
        <v>945</v>
      </c>
      <c r="C643" s="86" t="s">
        <v>1126</v>
      </c>
      <c r="D643" s="119" t="s">
        <v>1125</v>
      </c>
      <c r="E643" s="78" t="s">
        <v>217</v>
      </c>
      <c r="F643" s="103" t="s">
        <v>87</v>
      </c>
      <c r="G643" s="102">
        <v>1</v>
      </c>
      <c r="H643" s="102">
        <v>1</v>
      </c>
      <c r="I643" s="79">
        <v>249.8</v>
      </c>
      <c r="J643" s="79">
        <v>234.8</v>
      </c>
      <c r="K643" s="102">
        <v>10</v>
      </c>
      <c r="L643" s="117">
        <f>'Приложение 2 КСП 2018-2019 гг'!G645</f>
        <v>572418</v>
      </c>
      <c r="M643" s="253">
        <v>0</v>
      </c>
      <c r="N643" s="253">
        <v>0</v>
      </c>
      <c r="O643" s="253">
        <v>0</v>
      </c>
      <c r="P643" s="253">
        <f t="shared" ref="P643:P644" si="154">L643</f>
        <v>572418</v>
      </c>
      <c r="Q643" s="253">
        <v>0</v>
      </c>
      <c r="R643" s="253">
        <v>0</v>
      </c>
      <c r="S643" s="46" t="s">
        <v>586</v>
      </c>
      <c r="T643" s="41"/>
      <c r="U643" s="42"/>
      <c r="V643" s="161"/>
    </row>
    <row r="644" spans="1:22" ht="9" hidden="1" customHeight="1">
      <c r="A644" s="78">
        <v>228</v>
      </c>
      <c r="B644" s="82" t="s">
        <v>946</v>
      </c>
      <c r="C644" s="86" t="s">
        <v>1126</v>
      </c>
      <c r="D644" s="119" t="s">
        <v>1125</v>
      </c>
      <c r="E644" s="78" t="s">
        <v>750</v>
      </c>
      <c r="F644" s="103" t="s">
        <v>772</v>
      </c>
      <c r="G644" s="102">
        <v>2</v>
      </c>
      <c r="H644" s="102">
        <v>3</v>
      </c>
      <c r="I644" s="79">
        <v>185.2</v>
      </c>
      <c r="J644" s="79">
        <v>176.2</v>
      </c>
      <c r="K644" s="102">
        <v>9</v>
      </c>
      <c r="L644" s="117">
        <f>'Приложение 2 КСП 2018-2019 гг'!G646</f>
        <v>633864</v>
      </c>
      <c r="M644" s="253">
        <v>0</v>
      </c>
      <c r="N644" s="253">
        <v>0</v>
      </c>
      <c r="O644" s="253">
        <v>0</v>
      </c>
      <c r="P644" s="253">
        <f t="shared" si="154"/>
        <v>633864</v>
      </c>
      <c r="Q644" s="253">
        <v>0</v>
      </c>
      <c r="R644" s="253">
        <v>0</v>
      </c>
      <c r="S644" s="46" t="s">
        <v>586</v>
      </c>
      <c r="T644" s="41"/>
      <c r="U644" s="42"/>
      <c r="V644" s="161"/>
    </row>
    <row r="645" spans="1:22" ht="9" hidden="1" customHeight="1">
      <c r="A645" s="78">
        <v>229</v>
      </c>
      <c r="B645" s="82" t="s">
        <v>947</v>
      </c>
      <c r="C645" s="86" t="s">
        <v>1126</v>
      </c>
      <c r="D645" s="119" t="s">
        <v>1125</v>
      </c>
      <c r="E645" s="78" t="s">
        <v>750</v>
      </c>
      <c r="F645" s="103" t="s">
        <v>87</v>
      </c>
      <c r="G645" s="102">
        <v>1</v>
      </c>
      <c r="H645" s="102">
        <v>1</v>
      </c>
      <c r="I645" s="79">
        <v>524.79999999999995</v>
      </c>
      <c r="J645" s="79">
        <v>487.2</v>
      </c>
      <c r="K645" s="102">
        <v>14</v>
      </c>
      <c r="L645" s="117">
        <f>'Приложение 2 КСП 2018-2019 гг'!G647</f>
        <v>1131900</v>
      </c>
      <c r="M645" s="253">
        <v>0</v>
      </c>
      <c r="N645" s="253">
        <v>0</v>
      </c>
      <c r="O645" s="253">
        <v>0</v>
      </c>
      <c r="P645" s="253">
        <f t="shared" ref="P645:P646" si="155">L645</f>
        <v>1131900</v>
      </c>
      <c r="Q645" s="253">
        <v>0</v>
      </c>
      <c r="R645" s="253">
        <v>0</v>
      </c>
      <c r="S645" s="46" t="s">
        <v>586</v>
      </c>
      <c r="T645" s="41"/>
      <c r="U645" s="42"/>
      <c r="V645" s="161"/>
    </row>
    <row r="646" spans="1:22" ht="9" hidden="1" customHeight="1">
      <c r="A646" s="78">
        <v>230</v>
      </c>
      <c r="B646" s="82" t="s">
        <v>948</v>
      </c>
      <c r="C646" s="86" t="s">
        <v>1126</v>
      </c>
      <c r="D646" s="119" t="s">
        <v>1125</v>
      </c>
      <c r="E646" s="78" t="s">
        <v>750</v>
      </c>
      <c r="F646" s="103" t="s">
        <v>772</v>
      </c>
      <c r="G646" s="102">
        <v>1</v>
      </c>
      <c r="H646" s="102">
        <v>1</v>
      </c>
      <c r="I646" s="79">
        <v>271.10000000000002</v>
      </c>
      <c r="J646" s="79">
        <v>261.89999999999998</v>
      </c>
      <c r="K646" s="102" t="s">
        <v>1022</v>
      </c>
      <c r="L646" s="117">
        <f>'Приложение 2 КСП 2018-2019 гг'!G648</f>
        <v>937860</v>
      </c>
      <c r="M646" s="253">
        <v>0</v>
      </c>
      <c r="N646" s="253">
        <v>0</v>
      </c>
      <c r="O646" s="253">
        <v>0</v>
      </c>
      <c r="P646" s="253">
        <f t="shared" si="155"/>
        <v>937860</v>
      </c>
      <c r="Q646" s="253">
        <v>0</v>
      </c>
      <c r="R646" s="253">
        <v>0</v>
      </c>
      <c r="S646" s="46" t="s">
        <v>586</v>
      </c>
      <c r="T646" s="41"/>
      <c r="U646" s="42"/>
      <c r="V646" s="161"/>
    </row>
    <row r="647" spans="1:22" ht="9" hidden="1" customHeight="1">
      <c r="A647" s="78">
        <v>231</v>
      </c>
      <c r="B647" s="82" t="s">
        <v>949</v>
      </c>
      <c r="C647" s="86" t="s">
        <v>1126</v>
      </c>
      <c r="D647" s="119" t="s">
        <v>1125</v>
      </c>
      <c r="E647" s="78" t="s">
        <v>744</v>
      </c>
      <c r="F647" s="103" t="s">
        <v>87</v>
      </c>
      <c r="G647" s="102">
        <v>2</v>
      </c>
      <c r="H647" s="102">
        <v>1</v>
      </c>
      <c r="I647" s="79">
        <v>331.2</v>
      </c>
      <c r="J647" s="79">
        <v>312.5</v>
      </c>
      <c r="K647" s="102">
        <v>21</v>
      </c>
      <c r="L647" s="117">
        <f>'Приложение 2 КСП 2018-2019 гг'!G649</f>
        <v>892584</v>
      </c>
      <c r="M647" s="253">
        <v>0</v>
      </c>
      <c r="N647" s="253">
        <v>0</v>
      </c>
      <c r="O647" s="253">
        <v>0</v>
      </c>
      <c r="P647" s="253">
        <f t="shared" ref="P647" si="156">L647</f>
        <v>892584</v>
      </c>
      <c r="Q647" s="253">
        <v>0</v>
      </c>
      <c r="R647" s="253">
        <v>0</v>
      </c>
      <c r="S647" s="46" t="s">
        <v>586</v>
      </c>
      <c r="T647" s="41"/>
      <c r="U647" s="42"/>
      <c r="V647" s="161"/>
    </row>
    <row r="648" spans="1:22" ht="36.75" hidden="1" customHeight="1">
      <c r="A648" s="606" t="s">
        <v>11</v>
      </c>
      <c r="B648" s="606"/>
      <c r="C648" s="86"/>
      <c r="D648" s="147"/>
      <c r="E648" s="54" t="s">
        <v>387</v>
      </c>
      <c r="F648" s="54" t="s">
        <v>387</v>
      </c>
      <c r="G648" s="54" t="s">
        <v>387</v>
      </c>
      <c r="H648" s="54" t="s">
        <v>387</v>
      </c>
      <c r="I648" s="225">
        <f>SUM(I643:I647)</f>
        <v>1562.1000000000001</v>
      </c>
      <c r="J648" s="225">
        <f t="shared" ref="J648:R648" si="157">SUM(J643:J647)</f>
        <v>1472.6</v>
      </c>
      <c r="K648" s="47">
        <f t="shared" si="157"/>
        <v>54</v>
      </c>
      <c r="L648" s="225">
        <f t="shared" si="157"/>
        <v>4168626</v>
      </c>
      <c r="M648" s="225">
        <f t="shared" si="157"/>
        <v>0</v>
      </c>
      <c r="N648" s="225">
        <f t="shared" si="157"/>
        <v>0</v>
      </c>
      <c r="O648" s="225">
        <f t="shared" si="157"/>
        <v>0</v>
      </c>
      <c r="P648" s="225">
        <f t="shared" si="157"/>
        <v>4168626</v>
      </c>
      <c r="Q648" s="225">
        <f t="shared" si="157"/>
        <v>0</v>
      </c>
      <c r="R648" s="225">
        <f t="shared" si="157"/>
        <v>0</v>
      </c>
      <c r="S648" s="144"/>
      <c r="T648" s="163"/>
      <c r="U648" s="172"/>
      <c r="V648" s="161"/>
    </row>
    <row r="649" spans="1:22" ht="9" hidden="1" customHeight="1">
      <c r="A649" s="504" t="s">
        <v>388</v>
      </c>
      <c r="B649" s="504"/>
      <c r="C649" s="504"/>
      <c r="D649" s="504"/>
      <c r="E649" s="504"/>
      <c r="F649" s="504"/>
      <c r="G649" s="504"/>
      <c r="H649" s="504"/>
      <c r="I649" s="504"/>
      <c r="J649" s="504"/>
      <c r="K649" s="504"/>
      <c r="L649" s="504"/>
      <c r="M649" s="504"/>
      <c r="N649" s="504"/>
      <c r="O649" s="504"/>
      <c r="P649" s="504"/>
      <c r="Q649" s="504"/>
      <c r="R649" s="504"/>
      <c r="S649" s="504"/>
      <c r="T649" s="190"/>
      <c r="U649" s="190"/>
      <c r="V649" s="161"/>
    </row>
    <row r="650" spans="1:22" ht="9" hidden="1" customHeight="1">
      <c r="A650" s="78">
        <v>232</v>
      </c>
      <c r="B650" s="82" t="s">
        <v>951</v>
      </c>
      <c r="C650" s="86" t="s">
        <v>1126</v>
      </c>
      <c r="D650" s="119" t="s">
        <v>1125</v>
      </c>
      <c r="E650" s="78" t="s">
        <v>88</v>
      </c>
      <c r="F650" s="78" t="s">
        <v>87</v>
      </c>
      <c r="G650" s="141">
        <v>2</v>
      </c>
      <c r="H650" s="102">
        <v>1</v>
      </c>
      <c r="I650" s="111">
        <v>200</v>
      </c>
      <c r="J650" s="111">
        <v>164.9</v>
      </c>
      <c r="K650" s="102">
        <v>10</v>
      </c>
      <c r="L650" s="117">
        <f>'Приложение 2 КСП 2018-2019 гг'!G652</f>
        <v>581149.80000000005</v>
      </c>
      <c r="M650" s="253">
        <v>0</v>
      </c>
      <c r="N650" s="253">
        <v>0</v>
      </c>
      <c r="O650" s="253">
        <v>0</v>
      </c>
      <c r="P650" s="253">
        <f t="shared" ref="P650" si="158">L650</f>
        <v>581149.80000000005</v>
      </c>
      <c r="Q650" s="253">
        <v>0</v>
      </c>
      <c r="R650" s="253">
        <v>0</v>
      </c>
      <c r="S650" s="46" t="s">
        <v>586</v>
      </c>
      <c r="T650" s="41"/>
      <c r="U650" s="42"/>
      <c r="V650" s="161"/>
    </row>
    <row r="651" spans="1:22" ht="36" hidden="1" customHeight="1">
      <c r="A651" s="606" t="s">
        <v>20</v>
      </c>
      <c r="B651" s="606"/>
      <c r="C651" s="86"/>
      <c r="D651" s="147"/>
      <c r="E651" s="54" t="s">
        <v>387</v>
      </c>
      <c r="F651" s="54" t="s">
        <v>387</v>
      </c>
      <c r="G651" s="54" t="s">
        <v>387</v>
      </c>
      <c r="H651" s="54" t="s">
        <v>387</v>
      </c>
      <c r="I651" s="55">
        <f>SUM(I650)</f>
        <v>200</v>
      </c>
      <c r="J651" s="55">
        <f t="shared" ref="J651:R651" si="159">SUM(J650)</f>
        <v>164.9</v>
      </c>
      <c r="K651" s="47">
        <f t="shared" si="159"/>
        <v>10</v>
      </c>
      <c r="L651" s="55">
        <f t="shared" si="159"/>
        <v>581149.80000000005</v>
      </c>
      <c r="M651" s="55">
        <f t="shared" si="159"/>
        <v>0</v>
      </c>
      <c r="N651" s="55">
        <f t="shared" si="159"/>
        <v>0</v>
      </c>
      <c r="O651" s="55">
        <f t="shared" si="159"/>
        <v>0</v>
      </c>
      <c r="P651" s="55">
        <f t="shared" si="159"/>
        <v>581149.80000000005</v>
      </c>
      <c r="Q651" s="55">
        <f t="shared" si="159"/>
        <v>0</v>
      </c>
      <c r="R651" s="55">
        <f t="shared" si="159"/>
        <v>0</v>
      </c>
      <c r="S651" s="144"/>
      <c r="T651" s="163"/>
      <c r="U651" s="204"/>
      <c r="V651" s="161"/>
    </row>
    <row r="652" spans="1:22" ht="9" hidden="1" customHeight="1">
      <c r="A652" s="504" t="s">
        <v>433</v>
      </c>
      <c r="B652" s="504"/>
      <c r="C652" s="504"/>
      <c r="D652" s="504"/>
      <c r="E652" s="504"/>
      <c r="F652" s="504"/>
      <c r="G652" s="504"/>
      <c r="H652" s="504"/>
      <c r="I652" s="504"/>
      <c r="J652" s="504"/>
      <c r="K652" s="504"/>
      <c r="L652" s="504"/>
      <c r="M652" s="504"/>
      <c r="N652" s="504"/>
      <c r="O652" s="504"/>
      <c r="P652" s="504"/>
      <c r="Q652" s="504"/>
      <c r="R652" s="504"/>
      <c r="S652" s="504"/>
      <c r="T652" s="190"/>
      <c r="U652" s="190"/>
      <c r="V652" s="161"/>
    </row>
    <row r="653" spans="1:22" ht="9" hidden="1" customHeight="1">
      <c r="A653" s="145">
        <v>233</v>
      </c>
      <c r="B653" s="68" t="s">
        <v>1055</v>
      </c>
      <c r="C653" s="46" t="s">
        <v>1126</v>
      </c>
      <c r="D653" s="150" t="s">
        <v>1124</v>
      </c>
      <c r="E653" s="145" t="s">
        <v>601</v>
      </c>
      <c r="F653" s="145" t="s">
        <v>87</v>
      </c>
      <c r="G653" s="44">
        <v>2</v>
      </c>
      <c r="H653" s="44">
        <v>2</v>
      </c>
      <c r="I653" s="144">
        <v>907.5</v>
      </c>
      <c r="J653" s="144">
        <v>907.5</v>
      </c>
      <c r="K653" s="44">
        <v>48</v>
      </c>
      <c r="L653" s="117">
        <f>'Приложение 2 КСП 2018-2019 гг'!G655</f>
        <v>2133026.52</v>
      </c>
      <c r="M653" s="253">
        <v>0</v>
      </c>
      <c r="N653" s="253">
        <v>0</v>
      </c>
      <c r="O653" s="253">
        <v>0</v>
      </c>
      <c r="P653" s="253">
        <f t="shared" ref="P653" si="160">L653</f>
        <v>2133026.52</v>
      </c>
      <c r="Q653" s="253">
        <v>0</v>
      </c>
      <c r="R653" s="253">
        <v>0</v>
      </c>
      <c r="S653" s="46" t="s">
        <v>586</v>
      </c>
      <c r="T653" s="41"/>
      <c r="U653" s="42"/>
      <c r="V653" s="161"/>
    </row>
    <row r="654" spans="1:22" ht="35.25" hidden="1" customHeight="1">
      <c r="A654" s="599" t="s">
        <v>434</v>
      </c>
      <c r="B654" s="599"/>
      <c r="C654" s="46"/>
      <c r="D654" s="142"/>
      <c r="E654" s="54" t="s">
        <v>387</v>
      </c>
      <c r="F654" s="54" t="s">
        <v>387</v>
      </c>
      <c r="G654" s="54" t="s">
        <v>387</v>
      </c>
      <c r="H654" s="54" t="s">
        <v>387</v>
      </c>
      <c r="I654" s="225">
        <f>SUM(I653)</f>
        <v>907.5</v>
      </c>
      <c r="J654" s="225">
        <f t="shared" ref="J654:R654" si="161">SUM(J653)</f>
        <v>907.5</v>
      </c>
      <c r="K654" s="47">
        <f t="shared" si="161"/>
        <v>48</v>
      </c>
      <c r="L654" s="225">
        <f t="shared" si="161"/>
        <v>2133026.52</v>
      </c>
      <c r="M654" s="225">
        <f t="shared" si="161"/>
        <v>0</v>
      </c>
      <c r="N654" s="225">
        <f t="shared" si="161"/>
        <v>0</v>
      </c>
      <c r="O654" s="225">
        <f t="shared" si="161"/>
        <v>0</v>
      </c>
      <c r="P654" s="225">
        <f t="shared" si="161"/>
        <v>2133026.52</v>
      </c>
      <c r="Q654" s="225">
        <f t="shared" si="161"/>
        <v>0</v>
      </c>
      <c r="R654" s="225">
        <f t="shared" si="161"/>
        <v>0</v>
      </c>
      <c r="S654" s="144"/>
      <c r="T654" s="41"/>
      <c r="U654" s="204"/>
      <c r="V654" s="161"/>
    </row>
    <row r="655" spans="1:22" ht="9" hidden="1" customHeight="1">
      <c r="A655" s="504" t="s">
        <v>425</v>
      </c>
      <c r="B655" s="504"/>
      <c r="C655" s="504"/>
      <c r="D655" s="504"/>
      <c r="E655" s="504"/>
      <c r="F655" s="504"/>
      <c r="G655" s="504"/>
      <c r="H655" s="504"/>
      <c r="I655" s="504"/>
      <c r="J655" s="504"/>
      <c r="K655" s="504"/>
      <c r="L655" s="504"/>
      <c r="M655" s="504"/>
      <c r="N655" s="504"/>
      <c r="O655" s="504"/>
      <c r="P655" s="504"/>
      <c r="Q655" s="504"/>
      <c r="R655" s="504"/>
      <c r="S655" s="504"/>
      <c r="T655" s="190"/>
      <c r="U655" s="190"/>
      <c r="V655" s="161"/>
    </row>
    <row r="656" spans="1:22" ht="9" hidden="1" customHeight="1">
      <c r="A656" s="145">
        <v>234</v>
      </c>
      <c r="B656" s="68" t="s">
        <v>953</v>
      </c>
      <c r="C656" s="46" t="s">
        <v>1126</v>
      </c>
      <c r="D656" s="119" t="s">
        <v>1125</v>
      </c>
      <c r="E656" s="145" t="s">
        <v>742</v>
      </c>
      <c r="F656" s="145" t="s">
        <v>89</v>
      </c>
      <c r="G656" s="44">
        <v>3</v>
      </c>
      <c r="H656" s="44">
        <v>3</v>
      </c>
      <c r="I656" s="144">
        <v>1571.55</v>
      </c>
      <c r="J656" s="144">
        <v>1477.42</v>
      </c>
      <c r="K656" s="144">
        <v>42</v>
      </c>
      <c r="L656" s="117">
        <f>'Приложение 2 КСП 2018-2019 гг'!G658</f>
        <v>2988216</v>
      </c>
      <c r="M656" s="253">
        <v>0</v>
      </c>
      <c r="N656" s="253">
        <v>0</v>
      </c>
      <c r="O656" s="253">
        <v>0</v>
      </c>
      <c r="P656" s="253">
        <f t="shared" ref="P656" si="162">L656</f>
        <v>2988216</v>
      </c>
      <c r="Q656" s="253">
        <v>0</v>
      </c>
      <c r="R656" s="253">
        <v>0</v>
      </c>
      <c r="S656" s="46" t="s">
        <v>586</v>
      </c>
      <c r="T656" s="41"/>
      <c r="U656" s="42"/>
      <c r="V656" s="161"/>
    </row>
    <row r="657" spans="1:22" ht="38.25" hidden="1" customHeight="1">
      <c r="A657" s="599" t="s">
        <v>426</v>
      </c>
      <c r="B657" s="599"/>
      <c r="C657" s="46"/>
      <c r="D657" s="142"/>
      <c r="E657" s="54" t="s">
        <v>387</v>
      </c>
      <c r="F657" s="54" t="s">
        <v>387</v>
      </c>
      <c r="G657" s="54" t="s">
        <v>387</v>
      </c>
      <c r="H657" s="54" t="s">
        <v>387</v>
      </c>
      <c r="I657" s="225">
        <f>SUM(I656)</f>
        <v>1571.55</v>
      </c>
      <c r="J657" s="225">
        <f t="shared" ref="J657:R657" si="163">SUM(J656)</f>
        <v>1477.42</v>
      </c>
      <c r="K657" s="47">
        <f t="shared" si="163"/>
        <v>42</v>
      </c>
      <c r="L657" s="225">
        <f t="shared" si="163"/>
        <v>2988216</v>
      </c>
      <c r="M657" s="225">
        <f t="shared" si="163"/>
        <v>0</v>
      </c>
      <c r="N657" s="225">
        <f t="shared" si="163"/>
        <v>0</v>
      </c>
      <c r="O657" s="225">
        <f t="shared" si="163"/>
        <v>0</v>
      </c>
      <c r="P657" s="225">
        <f t="shared" si="163"/>
        <v>2988216</v>
      </c>
      <c r="Q657" s="225">
        <f t="shared" si="163"/>
        <v>0</v>
      </c>
      <c r="R657" s="225">
        <f t="shared" si="163"/>
        <v>0</v>
      </c>
      <c r="S657" s="144"/>
      <c r="T657" s="39"/>
      <c r="U657" s="42"/>
      <c r="V657" s="161"/>
    </row>
    <row r="658" spans="1:22" ht="9" hidden="1" customHeight="1">
      <c r="A658" s="502" t="s">
        <v>28</v>
      </c>
      <c r="B658" s="502"/>
      <c r="C658" s="502"/>
      <c r="D658" s="502"/>
      <c r="E658" s="502"/>
      <c r="F658" s="502"/>
      <c r="G658" s="502"/>
      <c r="H658" s="502"/>
      <c r="I658" s="502"/>
      <c r="J658" s="502"/>
      <c r="K658" s="502"/>
      <c r="L658" s="502"/>
      <c r="M658" s="502"/>
      <c r="N658" s="502"/>
      <c r="O658" s="502"/>
      <c r="P658" s="502"/>
      <c r="Q658" s="502"/>
      <c r="R658" s="502"/>
      <c r="S658" s="502"/>
      <c r="T658" s="162"/>
      <c r="U658" s="162"/>
      <c r="V658" s="161"/>
    </row>
    <row r="659" spans="1:22" ht="9" hidden="1" customHeight="1">
      <c r="A659" s="145">
        <v>235</v>
      </c>
      <c r="B659" s="68" t="s">
        <v>958</v>
      </c>
      <c r="C659" s="46" t="s">
        <v>1126</v>
      </c>
      <c r="D659" s="119" t="s">
        <v>1125</v>
      </c>
      <c r="E659" s="145" t="s">
        <v>742</v>
      </c>
      <c r="F659" s="145" t="s">
        <v>87</v>
      </c>
      <c r="G659" s="44">
        <v>2</v>
      </c>
      <c r="H659" s="44">
        <v>3</v>
      </c>
      <c r="I659" s="144">
        <v>989.8</v>
      </c>
      <c r="J659" s="144">
        <v>901.2</v>
      </c>
      <c r="K659" s="44">
        <v>41</v>
      </c>
      <c r="L659" s="117">
        <f>'Приложение 2 КСП 2018-2019 гг'!G661</f>
        <v>2606604</v>
      </c>
      <c r="M659" s="253">
        <v>0</v>
      </c>
      <c r="N659" s="253">
        <v>0</v>
      </c>
      <c r="O659" s="253">
        <v>0</v>
      </c>
      <c r="P659" s="253">
        <f t="shared" ref="P659:P660" si="164">L659</f>
        <v>2606604</v>
      </c>
      <c r="Q659" s="253">
        <v>0</v>
      </c>
      <c r="R659" s="253">
        <v>0</v>
      </c>
      <c r="S659" s="46" t="s">
        <v>586</v>
      </c>
      <c r="T659" s="41"/>
      <c r="U659" s="42"/>
      <c r="V659" s="161"/>
    </row>
    <row r="660" spans="1:22" ht="9" hidden="1" customHeight="1">
      <c r="A660" s="145">
        <v>236</v>
      </c>
      <c r="B660" s="68" t="s">
        <v>959</v>
      </c>
      <c r="C660" s="46" t="s">
        <v>1126</v>
      </c>
      <c r="D660" s="119" t="s">
        <v>1125</v>
      </c>
      <c r="E660" s="145" t="s">
        <v>741</v>
      </c>
      <c r="F660" s="145" t="s">
        <v>87</v>
      </c>
      <c r="G660" s="44">
        <v>2</v>
      </c>
      <c r="H660" s="44">
        <v>2</v>
      </c>
      <c r="I660" s="144">
        <v>546.1</v>
      </c>
      <c r="J660" s="144">
        <v>502.1</v>
      </c>
      <c r="K660" s="44">
        <v>22</v>
      </c>
      <c r="L660" s="117">
        <f>'Приложение 2 КСП 2018-2019 гг'!G662</f>
        <v>1529682</v>
      </c>
      <c r="M660" s="253">
        <v>0</v>
      </c>
      <c r="N660" s="253">
        <v>0</v>
      </c>
      <c r="O660" s="253">
        <v>0</v>
      </c>
      <c r="P660" s="253">
        <f t="shared" si="164"/>
        <v>1529682</v>
      </c>
      <c r="Q660" s="253">
        <v>0</v>
      </c>
      <c r="R660" s="253">
        <v>0</v>
      </c>
      <c r="S660" s="46" t="s">
        <v>586</v>
      </c>
      <c r="T660" s="41"/>
      <c r="U660" s="42"/>
      <c r="V660" s="161"/>
    </row>
    <row r="661" spans="1:22" ht="36" hidden="1" customHeight="1">
      <c r="A661" s="599" t="s">
        <v>29</v>
      </c>
      <c r="B661" s="599"/>
      <c r="C661" s="46"/>
      <c r="D661" s="142"/>
      <c r="E661" s="54" t="s">
        <v>387</v>
      </c>
      <c r="F661" s="54" t="s">
        <v>387</v>
      </c>
      <c r="G661" s="54" t="s">
        <v>387</v>
      </c>
      <c r="H661" s="54" t="s">
        <v>387</v>
      </c>
      <c r="I661" s="225">
        <f>SUM(I659:I660)</f>
        <v>1535.9</v>
      </c>
      <c r="J661" s="225">
        <f t="shared" ref="J661:R661" si="165">SUM(J659:J660)</f>
        <v>1403.3000000000002</v>
      </c>
      <c r="K661" s="47">
        <f t="shared" si="165"/>
        <v>63</v>
      </c>
      <c r="L661" s="225">
        <f t="shared" si="165"/>
        <v>4136286</v>
      </c>
      <c r="M661" s="225">
        <f t="shared" si="165"/>
        <v>0</v>
      </c>
      <c r="N661" s="225">
        <f t="shared" si="165"/>
        <v>0</v>
      </c>
      <c r="O661" s="225">
        <f t="shared" si="165"/>
        <v>0</v>
      </c>
      <c r="P661" s="225">
        <f t="shared" si="165"/>
        <v>4136286</v>
      </c>
      <c r="Q661" s="225">
        <f t="shared" si="165"/>
        <v>0</v>
      </c>
      <c r="R661" s="225">
        <f t="shared" si="165"/>
        <v>0</v>
      </c>
      <c r="S661" s="144"/>
      <c r="T661" s="41"/>
      <c r="U661" s="42"/>
      <c r="V661" s="161"/>
    </row>
    <row r="662" spans="1:22" ht="9" hidden="1" customHeight="1">
      <c r="A662" s="502" t="s">
        <v>34</v>
      </c>
      <c r="B662" s="502"/>
      <c r="C662" s="502"/>
      <c r="D662" s="502"/>
      <c r="E662" s="502"/>
      <c r="F662" s="502"/>
      <c r="G662" s="502"/>
      <c r="H662" s="502"/>
      <c r="I662" s="502"/>
      <c r="J662" s="502"/>
      <c r="K662" s="502"/>
      <c r="L662" s="502"/>
      <c r="M662" s="502"/>
      <c r="N662" s="502"/>
      <c r="O662" s="502"/>
      <c r="P662" s="502"/>
      <c r="Q662" s="502"/>
      <c r="R662" s="502"/>
      <c r="S662" s="502"/>
      <c r="T662" s="162"/>
      <c r="U662" s="162"/>
      <c r="V662" s="161"/>
    </row>
    <row r="663" spans="1:22" ht="9" hidden="1" customHeight="1">
      <c r="A663" s="145">
        <v>237</v>
      </c>
      <c r="B663" s="68" t="s">
        <v>967</v>
      </c>
      <c r="C663" s="46" t="s">
        <v>1126</v>
      </c>
      <c r="D663" s="119" t="s">
        <v>1125</v>
      </c>
      <c r="E663" s="145" t="s">
        <v>105</v>
      </c>
      <c r="F663" s="145" t="s">
        <v>87</v>
      </c>
      <c r="G663" s="44">
        <v>2</v>
      </c>
      <c r="H663" s="44">
        <v>1</v>
      </c>
      <c r="I663" s="144">
        <v>317.7</v>
      </c>
      <c r="J663" s="144">
        <v>295.3</v>
      </c>
      <c r="K663" s="44">
        <v>11</v>
      </c>
      <c r="L663" s="117">
        <f>'Приложение 2 КСП 2018-2019 гг'!G665</f>
        <v>834372</v>
      </c>
      <c r="M663" s="253">
        <v>0</v>
      </c>
      <c r="N663" s="253">
        <v>0</v>
      </c>
      <c r="O663" s="253">
        <v>0</v>
      </c>
      <c r="P663" s="253">
        <f t="shared" ref="P663:P664" si="166">L663</f>
        <v>834372</v>
      </c>
      <c r="Q663" s="253">
        <v>0</v>
      </c>
      <c r="R663" s="253">
        <v>0</v>
      </c>
      <c r="S663" s="46" t="s">
        <v>586</v>
      </c>
      <c r="T663" s="41"/>
      <c r="U663" s="42"/>
      <c r="V663" s="161"/>
    </row>
    <row r="664" spans="1:22" ht="9" hidden="1" customHeight="1">
      <c r="A664" s="145">
        <v>238</v>
      </c>
      <c r="B664" s="68" t="s">
        <v>968</v>
      </c>
      <c r="C664" s="46" t="s">
        <v>1126</v>
      </c>
      <c r="D664" s="119" t="s">
        <v>1125</v>
      </c>
      <c r="E664" s="145" t="s">
        <v>596</v>
      </c>
      <c r="F664" s="145" t="s">
        <v>87</v>
      </c>
      <c r="G664" s="44">
        <v>2</v>
      </c>
      <c r="H664" s="44">
        <v>3</v>
      </c>
      <c r="I664" s="144">
        <v>1608.8</v>
      </c>
      <c r="J664" s="144">
        <v>1489.1</v>
      </c>
      <c r="K664" s="145">
        <v>54</v>
      </c>
      <c r="L664" s="117">
        <f>'Приложение 2 КСП 2018-2019 гг'!G666</f>
        <v>3253404</v>
      </c>
      <c r="M664" s="253">
        <v>0</v>
      </c>
      <c r="N664" s="253">
        <v>0</v>
      </c>
      <c r="O664" s="253">
        <v>0</v>
      </c>
      <c r="P664" s="253">
        <f t="shared" si="166"/>
        <v>3253404</v>
      </c>
      <c r="Q664" s="253">
        <v>0</v>
      </c>
      <c r="R664" s="253">
        <v>0</v>
      </c>
      <c r="S664" s="46" t="s">
        <v>586</v>
      </c>
      <c r="T664" s="41"/>
      <c r="U664" s="42"/>
      <c r="V664" s="161"/>
    </row>
    <row r="665" spans="1:22" ht="9" hidden="1" customHeight="1">
      <c r="A665" s="145">
        <v>239</v>
      </c>
      <c r="B665" s="68" t="s">
        <v>969</v>
      </c>
      <c r="C665" s="46" t="s">
        <v>1126</v>
      </c>
      <c r="D665" s="119" t="s">
        <v>1125</v>
      </c>
      <c r="E665" s="145" t="s">
        <v>596</v>
      </c>
      <c r="F665" s="145" t="s">
        <v>87</v>
      </c>
      <c r="G665" s="44">
        <v>2</v>
      </c>
      <c r="H665" s="44">
        <v>2</v>
      </c>
      <c r="I665" s="144">
        <v>685.5</v>
      </c>
      <c r="J665" s="144">
        <v>476.5</v>
      </c>
      <c r="K665" s="44">
        <v>31</v>
      </c>
      <c r="L665" s="117">
        <f>'Приложение 2 КСП 2018-2019 гг'!G667</f>
        <v>1663666</v>
      </c>
      <c r="M665" s="253">
        <v>0</v>
      </c>
      <c r="N665" s="253">
        <v>0</v>
      </c>
      <c r="O665" s="253">
        <v>0</v>
      </c>
      <c r="P665" s="253">
        <f t="shared" ref="P665:P666" si="167">L665</f>
        <v>1663666</v>
      </c>
      <c r="Q665" s="253">
        <v>0</v>
      </c>
      <c r="R665" s="253">
        <v>0</v>
      </c>
      <c r="S665" s="46" t="s">
        <v>586</v>
      </c>
      <c r="T665" s="41"/>
      <c r="U665" s="42"/>
      <c r="V665" s="161"/>
    </row>
    <row r="666" spans="1:22" ht="9" hidden="1" customHeight="1">
      <c r="A666" s="145">
        <v>240</v>
      </c>
      <c r="B666" s="68" t="s">
        <v>970</v>
      </c>
      <c r="C666" s="46" t="s">
        <v>1126</v>
      </c>
      <c r="D666" s="119" t="s">
        <v>1125</v>
      </c>
      <c r="E666" s="145" t="s">
        <v>600</v>
      </c>
      <c r="F666" s="145" t="s">
        <v>87</v>
      </c>
      <c r="G666" s="44">
        <v>2</v>
      </c>
      <c r="H666" s="44">
        <v>1</v>
      </c>
      <c r="I666" s="144">
        <v>1209.9000000000001</v>
      </c>
      <c r="J666" s="144">
        <v>975.4</v>
      </c>
      <c r="K666" s="44">
        <v>62</v>
      </c>
      <c r="L666" s="117">
        <f>'Приложение 2 КСП 2018-2019 гг'!G668</f>
        <v>2441670</v>
      </c>
      <c r="M666" s="253">
        <v>0</v>
      </c>
      <c r="N666" s="253">
        <v>0</v>
      </c>
      <c r="O666" s="253">
        <v>0</v>
      </c>
      <c r="P666" s="253">
        <f t="shared" si="167"/>
        <v>2441670</v>
      </c>
      <c r="Q666" s="253">
        <v>0</v>
      </c>
      <c r="R666" s="253">
        <v>0</v>
      </c>
      <c r="S666" s="46" t="s">
        <v>586</v>
      </c>
      <c r="T666" s="41"/>
      <c r="U666" s="42"/>
      <c r="V666" s="161"/>
    </row>
    <row r="667" spans="1:22" ht="9" hidden="1" customHeight="1">
      <c r="A667" s="145">
        <v>241</v>
      </c>
      <c r="B667" s="68" t="s">
        <v>971</v>
      </c>
      <c r="C667" s="46" t="s">
        <v>1126</v>
      </c>
      <c r="D667" s="119" t="s">
        <v>1125</v>
      </c>
      <c r="E667" s="145" t="s">
        <v>217</v>
      </c>
      <c r="F667" s="145" t="s">
        <v>87</v>
      </c>
      <c r="G667" s="44">
        <v>2</v>
      </c>
      <c r="H667" s="44">
        <v>1</v>
      </c>
      <c r="I667" s="144">
        <v>318.2</v>
      </c>
      <c r="J667" s="144">
        <v>297.60000000000002</v>
      </c>
      <c r="K667" s="44">
        <v>11</v>
      </c>
      <c r="L667" s="117">
        <f>'Приложение 2 КСП 2018-2019 гг'!G669</f>
        <v>630630</v>
      </c>
      <c r="M667" s="253">
        <v>0</v>
      </c>
      <c r="N667" s="253">
        <v>0</v>
      </c>
      <c r="O667" s="253">
        <v>0</v>
      </c>
      <c r="P667" s="253">
        <f t="shared" ref="P667" si="168">L667</f>
        <v>630630</v>
      </c>
      <c r="Q667" s="253">
        <v>0</v>
      </c>
      <c r="R667" s="253">
        <v>0</v>
      </c>
      <c r="S667" s="46" t="s">
        <v>586</v>
      </c>
      <c r="T667" s="41"/>
      <c r="U667" s="42"/>
      <c r="V667" s="161"/>
    </row>
    <row r="668" spans="1:22" ht="36.75" hidden="1" customHeight="1">
      <c r="A668" s="599" t="s">
        <v>35</v>
      </c>
      <c r="B668" s="599"/>
      <c r="C668" s="46"/>
      <c r="D668" s="142"/>
      <c r="E668" s="54" t="s">
        <v>387</v>
      </c>
      <c r="F668" s="54" t="s">
        <v>387</v>
      </c>
      <c r="G668" s="54" t="s">
        <v>387</v>
      </c>
      <c r="H668" s="54" t="s">
        <v>387</v>
      </c>
      <c r="I668" s="225">
        <f>SUM(I663:I667)</f>
        <v>4140.1000000000004</v>
      </c>
      <c r="J668" s="225">
        <f t="shared" ref="J668:R668" si="169">SUM(J663:J667)</f>
        <v>3533.8999999999996</v>
      </c>
      <c r="K668" s="47">
        <f t="shared" si="169"/>
        <v>169</v>
      </c>
      <c r="L668" s="225">
        <f t="shared" si="169"/>
        <v>8823742</v>
      </c>
      <c r="M668" s="225">
        <f t="shared" si="169"/>
        <v>0</v>
      </c>
      <c r="N668" s="225">
        <f t="shared" si="169"/>
        <v>0</v>
      </c>
      <c r="O668" s="225">
        <f t="shared" si="169"/>
        <v>0</v>
      </c>
      <c r="P668" s="225">
        <f t="shared" si="169"/>
        <v>8823742</v>
      </c>
      <c r="Q668" s="225">
        <f t="shared" si="169"/>
        <v>0</v>
      </c>
      <c r="R668" s="225">
        <f t="shared" si="169"/>
        <v>0</v>
      </c>
      <c r="S668" s="144"/>
      <c r="T668" s="41"/>
      <c r="U668" s="42"/>
      <c r="V668" s="161"/>
    </row>
    <row r="669" spans="1:22" ht="9" hidden="1" customHeight="1">
      <c r="A669" s="502" t="s">
        <v>39</v>
      </c>
      <c r="B669" s="502"/>
      <c r="C669" s="502"/>
      <c r="D669" s="502"/>
      <c r="E669" s="502"/>
      <c r="F669" s="502"/>
      <c r="G669" s="502"/>
      <c r="H669" s="502"/>
      <c r="I669" s="502"/>
      <c r="J669" s="502"/>
      <c r="K669" s="502"/>
      <c r="L669" s="502"/>
      <c r="M669" s="502"/>
      <c r="N669" s="502"/>
      <c r="O669" s="502"/>
      <c r="P669" s="502"/>
      <c r="Q669" s="502"/>
      <c r="R669" s="502"/>
      <c r="S669" s="502"/>
      <c r="T669" s="162"/>
      <c r="U669" s="162"/>
      <c r="V669" s="161"/>
    </row>
    <row r="670" spans="1:22" ht="29.25" customHeight="1">
      <c r="A670" s="673" t="s">
        <v>1172</v>
      </c>
      <c r="B670" s="674"/>
      <c r="C670" s="478" t="s">
        <v>1164</v>
      </c>
      <c r="D670" s="478" t="s">
        <v>1164</v>
      </c>
      <c r="E670" s="478" t="s">
        <v>1164</v>
      </c>
      <c r="F670" s="478" t="s">
        <v>1164</v>
      </c>
      <c r="G670" s="478" t="s">
        <v>1164</v>
      </c>
      <c r="H670" s="478" t="s">
        <v>1164</v>
      </c>
      <c r="I670" s="484">
        <v>412.31</v>
      </c>
      <c r="J670" s="484">
        <v>366.74</v>
      </c>
      <c r="K670" s="483">
        <v>23</v>
      </c>
      <c r="L670" s="485">
        <f>'Приложение 2 КСП 2018-2019 гг'!G673</f>
        <v>1106028</v>
      </c>
      <c r="M670" s="484">
        <v>0</v>
      </c>
      <c r="N670" s="484">
        <v>0</v>
      </c>
      <c r="O670" s="484">
        <v>0</v>
      </c>
      <c r="P670" s="484">
        <f t="shared" ref="P670" si="170">L670</f>
        <v>1106028</v>
      </c>
      <c r="Q670" s="484">
        <v>0</v>
      </c>
      <c r="R670" s="484">
        <v>0</v>
      </c>
      <c r="S670" s="478" t="s">
        <v>1164</v>
      </c>
      <c r="T670" s="162"/>
      <c r="U670" s="162"/>
      <c r="V670" s="161"/>
    </row>
    <row r="671" spans="1:22" ht="26.25" customHeight="1">
      <c r="A671" s="479">
        <v>2</v>
      </c>
      <c r="B671" s="480" t="s">
        <v>991</v>
      </c>
      <c r="C671" s="481" t="s">
        <v>1126</v>
      </c>
      <c r="D671" s="482" t="s">
        <v>1125</v>
      </c>
      <c r="E671" s="479" t="s">
        <v>745</v>
      </c>
      <c r="F671" s="479" t="s">
        <v>772</v>
      </c>
      <c r="G671" s="483">
        <v>2</v>
      </c>
      <c r="H671" s="483">
        <v>2</v>
      </c>
      <c r="I671" s="484">
        <v>418.69</v>
      </c>
      <c r="J671" s="484">
        <v>373.12</v>
      </c>
      <c r="K671" s="483">
        <v>20</v>
      </c>
      <c r="L671" s="485">
        <f>'Приложение 2 КСП 2018-2019 гг'!G673</f>
        <v>1106028</v>
      </c>
      <c r="M671" s="484">
        <v>0</v>
      </c>
      <c r="N671" s="484">
        <v>0</v>
      </c>
      <c r="O671" s="484">
        <v>0</v>
      </c>
      <c r="P671" s="484">
        <f t="shared" ref="P671:P673" si="171">L671</f>
        <v>1106028</v>
      </c>
      <c r="Q671" s="484">
        <v>0</v>
      </c>
      <c r="R671" s="484">
        <v>0</v>
      </c>
      <c r="S671" s="481" t="s">
        <v>586</v>
      </c>
      <c r="T671" s="41"/>
      <c r="U671" s="42"/>
      <c r="V671" s="161"/>
    </row>
    <row r="672" spans="1:22" ht="30.75" customHeight="1">
      <c r="A672" s="479">
        <v>3</v>
      </c>
      <c r="B672" s="480" t="s">
        <v>992</v>
      </c>
      <c r="C672" s="481" t="s">
        <v>1126</v>
      </c>
      <c r="D672" s="482" t="s">
        <v>1125</v>
      </c>
      <c r="E672" s="479" t="s">
        <v>973</v>
      </c>
      <c r="F672" s="479" t="s">
        <v>772</v>
      </c>
      <c r="G672" s="483">
        <v>2</v>
      </c>
      <c r="H672" s="483">
        <v>2</v>
      </c>
      <c r="I672" s="484">
        <v>417.37</v>
      </c>
      <c r="J672" s="484">
        <v>370.82</v>
      </c>
      <c r="K672" s="483">
        <v>18</v>
      </c>
      <c r="L672" s="485">
        <f>'Приложение 2 КСП 2018-2019 гг'!G674</f>
        <v>1106028</v>
      </c>
      <c r="M672" s="484">
        <v>0</v>
      </c>
      <c r="N672" s="484">
        <v>0</v>
      </c>
      <c r="O672" s="484">
        <v>0</v>
      </c>
      <c r="P672" s="484">
        <f t="shared" si="171"/>
        <v>1106028</v>
      </c>
      <c r="Q672" s="484">
        <v>0</v>
      </c>
      <c r="R672" s="484">
        <v>0</v>
      </c>
      <c r="S672" s="481" t="s">
        <v>586</v>
      </c>
      <c r="T672" s="41"/>
      <c r="U672" s="42"/>
      <c r="V672" s="161"/>
    </row>
    <row r="673" spans="1:22" ht="36" customHeight="1">
      <c r="A673" s="479">
        <v>4</v>
      </c>
      <c r="B673" s="480" t="s">
        <v>993</v>
      </c>
      <c r="C673" s="481" t="s">
        <v>1126</v>
      </c>
      <c r="D673" s="482" t="s">
        <v>1125</v>
      </c>
      <c r="E673" s="479" t="s">
        <v>743</v>
      </c>
      <c r="F673" s="479" t="s">
        <v>772</v>
      </c>
      <c r="G673" s="483">
        <v>2</v>
      </c>
      <c r="H673" s="483">
        <v>2</v>
      </c>
      <c r="I673" s="484">
        <v>415.03</v>
      </c>
      <c r="J673" s="484">
        <v>369.15</v>
      </c>
      <c r="K673" s="483">
        <v>21</v>
      </c>
      <c r="L673" s="485">
        <f>'Приложение 2 КСП 2018-2019 гг'!G675</f>
        <v>1106028</v>
      </c>
      <c r="M673" s="484">
        <v>0</v>
      </c>
      <c r="N673" s="484">
        <v>0</v>
      </c>
      <c r="O673" s="484">
        <v>0</v>
      </c>
      <c r="P673" s="484">
        <f t="shared" si="171"/>
        <v>1106028</v>
      </c>
      <c r="Q673" s="484">
        <v>0</v>
      </c>
      <c r="R673" s="484">
        <v>0</v>
      </c>
      <c r="S673" s="481" t="s">
        <v>586</v>
      </c>
      <c r="T673" s="41"/>
      <c r="U673" s="42"/>
      <c r="V673" s="161"/>
    </row>
    <row r="674" spans="1:22" ht="48.75" hidden="1" customHeight="1">
      <c r="A674" s="599" t="s">
        <v>38</v>
      </c>
      <c r="B674" s="599"/>
      <c r="C674" s="46"/>
      <c r="D674" s="142"/>
      <c r="E674" s="54" t="s">
        <v>387</v>
      </c>
      <c r="F674" s="54" t="s">
        <v>387</v>
      </c>
      <c r="G674" s="54" t="s">
        <v>387</v>
      </c>
      <c r="H674" s="54" t="s">
        <v>387</v>
      </c>
      <c r="I674" s="225">
        <f>SUM(I671:I673)</f>
        <v>1251.0899999999999</v>
      </c>
      <c r="J674" s="225">
        <f t="shared" ref="J674:R674" si="172">SUM(J671:J673)</f>
        <v>1113.0900000000001</v>
      </c>
      <c r="K674" s="47">
        <f t="shared" si="172"/>
        <v>59</v>
      </c>
      <c r="L674" s="225">
        <f t="shared" si="172"/>
        <v>3318084</v>
      </c>
      <c r="M674" s="225">
        <f t="shared" si="172"/>
        <v>0</v>
      </c>
      <c r="N674" s="225">
        <f t="shared" si="172"/>
        <v>0</v>
      </c>
      <c r="O674" s="225">
        <f t="shared" si="172"/>
        <v>0</v>
      </c>
      <c r="P674" s="225">
        <f t="shared" si="172"/>
        <v>3318084</v>
      </c>
      <c r="Q674" s="225">
        <f t="shared" si="172"/>
        <v>0</v>
      </c>
      <c r="R674" s="225">
        <f t="shared" si="172"/>
        <v>0</v>
      </c>
      <c r="S674" s="144"/>
      <c r="T674" s="41"/>
      <c r="U674" s="42"/>
      <c r="V674" s="161"/>
    </row>
    <row r="675" spans="1:22" ht="9" hidden="1" customHeight="1">
      <c r="A675" s="502" t="s">
        <v>1060</v>
      </c>
      <c r="B675" s="502"/>
      <c r="C675" s="502"/>
      <c r="D675" s="502"/>
      <c r="E675" s="502"/>
      <c r="F675" s="502"/>
      <c r="G675" s="502"/>
      <c r="H675" s="502"/>
      <c r="I675" s="502"/>
      <c r="J675" s="502"/>
      <c r="K675" s="502"/>
      <c r="L675" s="502"/>
      <c r="M675" s="502"/>
      <c r="N675" s="502"/>
      <c r="O675" s="502"/>
      <c r="P675" s="502"/>
      <c r="Q675" s="502"/>
      <c r="R675" s="502"/>
      <c r="S675" s="502"/>
      <c r="T675" s="162"/>
      <c r="U675" s="162"/>
      <c r="V675" s="161"/>
    </row>
    <row r="676" spans="1:22" ht="9" hidden="1" customHeight="1">
      <c r="A676" s="142">
        <v>245</v>
      </c>
      <c r="B676" s="142" t="s">
        <v>994</v>
      </c>
      <c r="C676" s="46" t="s">
        <v>1126</v>
      </c>
      <c r="D676" s="119" t="s">
        <v>1125</v>
      </c>
      <c r="E676" s="54" t="s">
        <v>610</v>
      </c>
      <c r="F676" s="54" t="s">
        <v>87</v>
      </c>
      <c r="G676" s="140">
        <v>2</v>
      </c>
      <c r="H676" s="140">
        <v>3</v>
      </c>
      <c r="I676" s="144">
        <v>918</v>
      </c>
      <c r="J676" s="144">
        <v>869</v>
      </c>
      <c r="K676" s="44">
        <v>25</v>
      </c>
      <c r="L676" s="117">
        <f>'Приложение 2 КСП 2018-2019 гг'!G678</f>
        <v>2147096</v>
      </c>
      <c r="M676" s="253">
        <v>0</v>
      </c>
      <c r="N676" s="253">
        <v>0</v>
      </c>
      <c r="O676" s="253">
        <v>0</v>
      </c>
      <c r="P676" s="253">
        <f t="shared" ref="P676" si="173">L676</f>
        <v>2147096</v>
      </c>
      <c r="Q676" s="253">
        <v>0</v>
      </c>
      <c r="R676" s="253">
        <v>0</v>
      </c>
      <c r="S676" s="46" t="s">
        <v>586</v>
      </c>
      <c r="T676" s="41"/>
      <c r="U676" s="42"/>
      <c r="V676" s="161"/>
    </row>
    <row r="677" spans="1:22" ht="28.5" hidden="1" customHeight="1">
      <c r="A677" s="599" t="s">
        <v>1061</v>
      </c>
      <c r="B677" s="599"/>
      <c r="C677" s="46"/>
      <c r="D677" s="142"/>
      <c r="E677" s="54" t="s">
        <v>387</v>
      </c>
      <c r="F677" s="54" t="s">
        <v>387</v>
      </c>
      <c r="G677" s="54" t="s">
        <v>387</v>
      </c>
      <c r="H677" s="54" t="s">
        <v>387</v>
      </c>
      <c r="I677" s="225">
        <f>SUM(I676)</f>
        <v>918</v>
      </c>
      <c r="J677" s="225">
        <f t="shared" ref="J677:R677" si="174">SUM(J676)</f>
        <v>869</v>
      </c>
      <c r="K677" s="47">
        <f t="shared" si="174"/>
        <v>25</v>
      </c>
      <c r="L677" s="225">
        <f t="shared" si="174"/>
        <v>2147096</v>
      </c>
      <c r="M677" s="225">
        <f t="shared" si="174"/>
        <v>0</v>
      </c>
      <c r="N677" s="225">
        <f t="shared" si="174"/>
        <v>0</v>
      </c>
      <c r="O677" s="225">
        <f t="shared" si="174"/>
        <v>0</v>
      </c>
      <c r="P677" s="225">
        <f t="shared" si="174"/>
        <v>2147096</v>
      </c>
      <c r="Q677" s="225">
        <f t="shared" si="174"/>
        <v>0</v>
      </c>
      <c r="R677" s="225">
        <f t="shared" si="174"/>
        <v>0</v>
      </c>
      <c r="S677" s="144"/>
      <c r="T677" s="41"/>
      <c r="U677" s="42"/>
      <c r="V677" s="161"/>
    </row>
    <row r="678" spans="1:22" ht="9" hidden="1" customHeight="1">
      <c r="A678" s="502" t="s">
        <v>44</v>
      </c>
      <c r="B678" s="502"/>
      <c r="C678" s="502"/>
      <c r="D678" s="502"/>
      <c r="E678" s="502"/>
      <c r="F678" s="502"/>
      <c r="G678" s="502"/>
      <c r="H678" s="502"/>
      <c r="I678" s="502"/>
      <c r="J678" s="502"/>
      <c r="K678" s="502"/>
      <c r="L678" s="502"/>
      <c r="M678" s="502"/>
      <c r="N678" s="502"/>
      <c r="O678" s="502"/>
      <c r="P678" s="502"/>
      <c r="Q678" s="502"/>
      <c r="R678" s="502"/>
      <c r="S678" s="502"/>
      <c r="T678" s="162"/>
      <c r="U678" s="162"/>
      <c r="V678" s="161"/>
    </row>
    <row r="679" spans="1:22" ht="9" hidden="1" customHeight="1">
      <c r="A679" s="145">
        <v>246</v>
      </c>
      <c r="B679" s="68" t="s">
        <v>983</v>
      </c>
      <c r="C679" s="46" t="s">
        <v>1126</v>
      </c>
      <c r="D679" s="119" t="s">
        <v>1125</v>
      </c>
      <c r="E679" s="145" t="s">
        <v>602</v>
      </c>
      <c r="F679" s="145" t="s">
        <v>87</v>
      </c>
      <c r="G679" s="44">
        <v>4</v>
      </c>
      <c r="H679" s="44">
        <v>2</v>
      </c>
      <c r="I679" s="144">
        <v>1357.3</v>
      </c>
      <c r="J679" s="144">
        <v>1205.5</v>
      </c>
      <c r="K679" s="44">
        <v>45</v>
      </c>
      <c r="L679" s="117">
        <f>'Приложение 2 КСП 2018-2019 гг'!G681</f>
        <v>1465002</v>
      </c>
      <c r="M679" s="253">
        <v>0</v>
      </c>
      <c r="N679" s="253">
        <v>0</v>
      </c>
      <c r="O679" s="253">
        <v>0</v>
      </c>
      <c r="P679" s="253">
        <f t="shared" ref="P679:P680" si="175">L679</f>
        <v>1465002</v>
      </c>
      <c r="Q679" s="253">
        <v>0</v>
      </c>
      <c r="R679" s="253">
        <v>0</v>
      </c>
      <c r="S679" s="46" t="s">
        <v>586</v>
      </c>
      <c r="T679" s="41"/>
      <c r="U679" s="42"/>
      <c r="V679" s="161"/>
    </row>
    <row r="680" spans="1:22" ht="9" hidden="1" customHeight="1">
      <c r="A680" s="145">
        <v>247</v>
      </c>
      <c r="B680" s="68" t="s">
        <v>984</v>
      </c>
      <c r="C680" s="46" t="s">
        <v>1126</v>
      </c>
      <c r="D680" s="119" t="s">
        <v>1125</v>
      </c>
      <c r="E680" s="145" t="s">
        <v>606</v>
      </c>
      <c r="F680" s="145" t="s">
        <v>87</v>
      </c>
      <c r="G680" s="44">
        <v>4</v>
      </c>
      <c r="H680" s="44">
        <v>2</v>
      </c>
      <c r="I680" s="144">
        <v>1326.3</v>
      </c>
      <c r="J680" s="144">
        <v>1151.7</v>
      </c>
      <c r="K680" s="44">
        <v>10</v>
      </c>
      <c r="L680" s="117">
        <f>'Приложение 2 КСП 2018-2019 гг'!G682</f>
        <v>1497342</v>
      </c>
      <c r="M680" s="253">
        <v>0</v>
      </c>
      <c r="N680" s="253">
        <v>0</v>
      </c>
      <c r="O680" s="253">
        <v>0</v>
      </c>
      <c r="P680" s="253">
        <f t="shared" si="175"/>
        <v>1497342</v>
      </c>
      <c r="Q680" s="253">
        <v>0</v>
      </c>
      <c r="R680" s="253">
        <v>0</v>
      </c>
      <c r="S680" s="46" t="s">
        <v>586</v>
      </c>
      <c r="T680" s="41"/>
      <c r="U680" s="42"/>
      <c r="V680" s="161"/>
    </row>
    <row r="681" spans="1:22" ht="9" hidden="1" customHeight="1">
      <c r="A681" s="252">
        <v>248</v>
      </c>
      <c r="B681" s="68" t="s">
        <v>985</v>
      </c>
      <c r="C681" s="46" t="s">
        <v>1126</v>
      </c>
      <c r="D681" s="119" t="s">
        <v>1125</v>
      </c>
      <c r="E681" s="145" t="s">
        <v>592</v>
      </c>
      <c r="F681" s="145" t="s">
        <v>87</v>
      </c>
      <c r="G681" s="44">
        <v>4</v>
      </c>
      <c r="H681" s="44">
        <v>2</v>
      </c>
      <c r="I681" s="144">
        <v>1361.6</v>
      </c>
      <c r="J681" s="144">
        <v>1264.8</v>
      </c>
      <c r="K681" s="44">
        <v>45</v>
      </c>
      <c r="L681" s="117">
        <f>'Приложение 2 КСП 2018-2019 гг'!G683</f>
        <v>1474704</v>
      </c>
      <c r="M681" s="253">
        <v>0</v>
      </c>
      <c r="N681" s="253">
        <v>0</v>
      </c>
      <c r="O681" s="253">
        <v>0</v>
      </c>
      <c r="P681" s="253">
        <f t="shared" ref="P681:P682" si="176">L681</f>
        <v>1474704</v>
      </c>
      <c r="Q681" s="253">
        <v>0</v>
      </c>
      <c r="R681" s="253">
        <v>0</v>
      </c>
      <c r="S681" s="46" t="s">
        <v>586</v>
      </c>
      <c r="T681" s="41"/>
      <c r="U681" s="42"/>
      <c r="V681" s="161"/>
    </row>
    <row r="682" spans="1:22" ht="9" hidden="1" customHeight="1">
      <c r="A682" s="252">
        <v>249</v>
      </c>
      <c r="B682" s="68" t="s">
        <v>986</v>
      </c>
      <c r="C682" s="46" t="s">
        <v>1126</v>
      </c>
      <c r="D682" s="119" t="s">
        <v>1125</v>
      </c>
      <c r="E682" s="145" t="s">
        <v>602</v>
      </c>
      <c r="F682" s="145" t="s">
        <v>87</v>
      </c>
      <c r="G682" s="44">
        <v>4</v>
      </c>
      <c r="H682" s="44">
        <v>2</v>
      </c>
      <c r="I682" s="144">
        <v>1361.1</v>
      </c>
      <c r="J682" s="144">
        <v>1195.5999999999999</v>
      </c>
      <c r="K682" s="44">
        <v>42</v>
      </c>
      <c r="L682" s="117">
        <f>'Приложение 2 КСП 2018-2019 гг'!G684</f>
        <v>1494108</v>
      </c>
      <c r="M682" s="253">
        <v>0</v>
      </c>
      <c r="N682" s="253">
        <v>0</v>
      </c>
      <c r="O682" s="253">
        <v>0</v>
      </c>
      <c r="P682" s="253">
        <f t="shared" si="176"/>
        <v>1494108</v>
      </c>
      <c r="Q682" s="253">
        <v>0</v>
      </c>
      <c r="R682" s="253">
        <v>0</v>
      </c>
      <c r="S682" s="46" t="s">
        <v>586</v>
      </c>
      <c r="T682" s="41"/>
      <c r="U682" s="42"/>
      <c r="V682" s="161"/>
    </row>
    <row r="683" spans="1:22" ht="9" hidden="1" customHeight="1">
      <c r="A683" s="252">
        <v>250</v>
      </c>
      <c r="B683" s="68" t="s">
        <v>987</v>
      </c>
      <c r="C683" s="46" t="s">
        <v>1126</v>
      </c>
      <c r="D683" s="119" t="s">
        <v>1125</v>
      </c>
      <c r="E683" s="145" t="s">
        <v>602</v>
      </c>
      <c r="F683" s="145" t="s">
        <v>87</v>
      </c>
      <c r="G683" s="44">
        <v>4</v>
      </c>
      <c r="H683" s="44">
        <v>2</v>
      </c>
      <c r="I683" s="144">
        <v>1364.8</v>
      </c>
      <c r="J683" s="144">
        <v>1268</v>
      </c>
      <c r="K683" s="44">
        <v>45</v>
      </c>
      <c r="L683" s="117">
        <f>'Приложение 2 КСП 2018-2019 гг'!G685</f>
        <v>1461768</v>
      </c>
      <c r="M683" s="253">
        <v>0</v>
      </c>
      <c r="N683" s="253">
        <v>0</v>
      </c>
      <c r="O683" s="253">
        <v>0</v>
      </c>
      <c r="P683" s="253">
        <f t="shared" ref="P683:P684" si="177">L683</f>
        <v>1461768</v>
      </c>
      <c r="Q683" s="253">
        <v>0</v>
      </c>
      <c r="R683" s="253">
        <v>0</v>
      </c>
      <c r="S683" s="46" t="s">
        <v>586</v>
      </c>
      <c r="T683" s="41"/>
      <c r="U683" s="42"/>
      <c r="V683" s="161"/>
    </row>
    <row r="684" spans="1:22" ht="9" hidden="1" customHeight="1">
      <c r="A684" s="252">
        <v>251</v>
      </c>
      <c r="B684" s="68" t="s">
        <v>988</v>
      </c>
      <c r="C684" s="46" t="s">
        <v>1126</v>
      </c>
      <c r="D684" s="119" t="s">
        <v>1125</v>
      </c>
      <c r="E684" s="145" t="s">
        <v>741</v>
      </c>
      <c r="F684" s="145" t="s">
        <v>87</v>
      </c>
      <c r="G684" s="44">
        <v>4</v>
      </c>
      <c r="H684" s="44">
        <v>2</v>
      </c>
      <c r="I684" s="144">
        <v>1367.6</v>
      </c>
      <c r="J684" s="144">
        <v>1279.5999999999999</v>
      </c>
      <c r="K684" s="44">
        <v>150</v>
      </c>
      <c r="L684" s="117">
        <f>'Приложение 2 КСП 2018-2019 гг'!G686</f>
        <v>1500576</v>
      </c>
      <c r="M684" s="253">
        <v>0</v>
      </c>
      <c r="N684" s="253">
        <v>0</v>
      </c>
      <c r="O684" s="253">
        <v>0</v>
      </c>
      <c r="P684" s="253">
        <f t="shared" si="177"/>
        <v>1500576</v>
      </c>
      <c r="Q684" s="253">
        <v>0</v>
      </c>
      <c r="R684" s="253">
        <v>0</v>
      </c>
      <c r="S684" s="46" t="s">
        <v>586</v>
      </c>
      <c r="T684" s="41"/>
      <c r="U684" s="42"/>
      <c r="V684" s="161"/>
    </row>
    <row r="685" spans="1:22" ht="9" hidden="1" customHeight="1">
      <c r="A685" s="252">
        <v>252</v>
      </c>
      <c r="B685" s="68" t="s">
        <v>989</v>
      </c>
      <c r="C685" s="46" t="s">
        <v>1126</v>
      </c>
      <c r="D685" s="119" t="s">
        <v>1125</v>
      </c>
      <c r="E685" s="145" t="s">
        <v>0</v>
      </c>
      <c r="F685" s="145" t="s">
        <v>87</v>
      </c>
      <c r="G685" s="44">
        <v>2</v>
      </c>
      <c r="H685" s="44">
        <v>2</v>
      </c>
      <c r="I685" s="144">
        <v>790</v>
      </c>
      <c r="J685" s="144">
        <v>727.4</v>
      </c>
      <c r="K685" s="44">
        <v>32</v>
      </c>
      <c r="L685" s="117">
        <f>'Приложение 2 КСП 2018-2019 гг'!G687</f>
        <v>1642872</v>
      </c>
      <c r="M685" s="253">
        <v>0</v>
      </c>
      <c r="N685" s="253">
        <v>0</v>
      </c>
      <c r="O685" s="253">
        <v>0</v>
      </c>
      <c r="P685" s="253">
        <f t="shared" ref="P685:P686" si="178">L685</f>
        <v>1642872</v>
      </c>
      <c r="Q685" s="253">
        <v>0</v>
      </c>
      <c r="R685" s="253">
        <v>0</v>
      </c>
      <c r="S685" s="46" t="s">
        <v>586</v>
      </c>
      <c r="T685" s="41"/>
      <c r="U685" s="42"/>
      <c r="V685" s="161"/>
    </row>
    <row r="686" spans="1:22" ht="9" hidden="1" customHeight="1">
      <c r="A686" s="252">
        <v>253</v>
      </c>
      <c r="B686" s="68" t="s">
        <v>990</v>
      </c>
      <c r="C686" s="46" t="s">
        <v>1126</v>
      </c>
      <c r="D686" s="119" t="s">
        <v>1125</v>
      </c>
      <c r="E686" s="145" t="s">
        <v>603</v>
      </c>
      <c r="F686" s="145" t="s">
        <v>87</v>
      </c>
      <c r="G686" s="44">
        <v>5</v>
      </c>
      <c r="H686" s="44">
        <v>4</v>
      </c>
      <c r="I686" s="144">
        <v>3136.9</v>
      </c>
      <c r="J686" s="144">
        <v>2785.4</v>
      </c>
      <c r="K686" s="44">
        <v>89</v>
      </c>
      <c r="L686" s="117">
        <f>'Приложение 2 КСП 2018-2019 гг'!G688</f>
        <v>2609838</v>
      </c>
      <c r="M686" s="253">
        <v>0</v>
      </c>
      <c r="N686" s="253">
        <v>0</v>
      </c>
      <c r="O686" s="253">
        <v>0</v>
      </c>
      <c r="P686" s="253">
        <f t="shared" si="178"/>
        <v>2609838</v>
      </c>
      <c r="Q686" s="253">
        <v>0</v>
      </c>
      <c r="R686" s="253">
        <v>0</v>
      </c>
      <c r="S686" s="46" t="s">
        <v>586</v>
      </c>
      <c r="T686" s="41"/>
      <c r="U686" s="42"/>
      <c r="V686" s="161"/>
    </row>
    <row r="687" spans="1:22" ht="22.5" hidden="1" customHeight="1">
      <c r="A687" s="599" t="s">
        <v>43</v>
      </c>
      <c r="B687" s="599"/>
      <c r="C687" s="46"/>
      <c r="D687" s="142"/>
      <c r="E687" s="54" t="s">
        <v>387</v>
      </c>
      <c r="F687" s="54" t="s">
        <v>387</v>
      </c>
      <c r="G687" s="54" t="s">
        <v>387</v>
      </c>
      <c r="H687" s="54" t="s">
        <v>387</v>
      </c>
      <c r="I687" s="225">
        <f>SUM(I679:I686)</f>
        <v>12065.599999999999</v>
      </c>
      <c r="J687" s="225">
        <f t="shared" ref="J687:R687" si="179">SUM(J679:J686)</f>
        <v>10878</v>
      </c>
      <c r="K687" s="47">
        <f t="shared" si="179"/>
        <v>458</v>
      </c>
      <c r="L687" s="225">
        <f t="shared" si="179"/>
        <v>13146210</v>
      </c>
      <c r="M687" s="225">
        <f t="shared" si="179"/>
        <v>0</v>
      </c>
      <c r="N687" s="225">
        <f t="shared" si="179"/>
        <v>0</v>
      </c>
      <c r="O687" s="225">
        <f t="shared" si="179"/>
        <v>0</v>
      </c>
      <c r="P687" s="225">
        <f t="shared" si="179"/>
        <v>13146210</v>
      </c>
      <c r="Q687" s="225">
        <f t="shared" si="179"/>
        <v>0</v>
      </c>
      <c r="R687" s="225">
        <f t="shared" si="179"/>
        <v>0</v>
      </c>
      <c r="S687" s="144"/>
      <c r="T687" s="41"/>
      <c r="U687" s="42"/>
      <c r="V687" s="161"/>
    </row>
    <row r="688" spans="1:22" ht="9" hidden="1" customHeight="1">
      <c r="A688" s="502" t="s">
        <v>1074</v>
      </c>
      <c r="B688" s="502"/>
      <c r="C688" s="502"/>
      <c r="D688" s="502"/>
      <c r="E688" s="502"/>
      <c r="F688" s="502"/>
      <c r="G688" s="502"/>
      <c r="H688" s="502"/>
      <c r="I688" s="502"/>
      <c r="J688" s="502"/>
      <c r="K688" s="502"/>
      <c r="L688" s="502"/>
      <c r="M688" s="502"/>
      <c r="N688" s="502"/>
      <c r="O688" s="502"/>
      <c r="P688" s="502"/>
      <c r="Q688" s="502"/>
      <c r="R688" s="502"/>
      <c r="S688" s="502"/>
      <c r="T688" s="162"/>
      <c r="U688" s="162"/>
      <c r="V688" s="161"/>
    </row>
    <row r="689" spans="1:22" ht="9" hidden="1" customHeight="1">
      <c r="A689" s="142">
        <v>254</v>
      </c>
      <c r="B689" s="142" t="s">
        <v>995</v>
      </c>
      <c r="C689" s="46" t="s">
        <v>1126</v>
      </c>
      <c r="D689" s="119" t="s">
        <v>1125</v>
      </c>
      <c r="E689" s="54" t="s">
        <v>592</v>
      </c>
      <c r="F689" s="54" t="s">
        <v>87</v>
      </c>
      <c r="G689" s="140">
        <v>2</v>
      </c>
      <c r="H689" s="140">
        <v>2</v>
      </c>
      <c r="I689" s="144">
        <v>615.1</v>
      </c>
      <c r="J689" s="144">
        <v>545.1</v>
      </c>
      <c r="K689" s="145">
        <v>26</v>
      </c>
      <c r="L689" s="117">
        <f>'Приложение 2 КСП 2018-2019 гг'!G691</f>
        <v>1422960</v>
      </c>
      <c r="M689" s="253">
        <v>0</v>
      </c>
      <c r="N689" s="253">
        <v>0</v>
      </c>
      <c r="O689" s="253">
        <v>0</v>
      </c>
      <c r="P689" s="253">
        <f t="shared" ref="P689" si="180">L689</f>
        <v>1422960</v>
      </c>
      <c r="Q689" s="253">
        <v>0</v>
      </c>
      <c r="R689" s="253">
        <v>0</v>
      </c>
      <c r="S689" s="46" t="s">
        <v>586</v>
      </c>
      <c r="T689" s="41"/>
      <c r="U689" s="42"/>
      <c r="V689" s="161"/>
    </row>
    <row r="690" spans="1:22" ht="26.25" hidden="1" customHeight="1">
      <c r="A690" s="599" t="s">
        <v>1075</v>
      </c>
      <c r="B690" s="599"/>
      <c r="C690" s="46"/>
      <c r="D690" s="142"/>
      <c r="E690" s="54" t="s">
        <v>387</v>
      </c>
      <c r="F690" s="54" t="s">
        <v>387</v>
      </c>
      <c r="G690" s="54" t="s">
        <v>387</v>
      </c>
      <c r="H690" s="54" t="s">
        <v>387</v>
      </c>
      <c r="I690" s="225">
        <f>SUM(I689)</f>
        <v>615.1</v>
      </c>
      <c r="J690" s="225">
        <f t="shared" ref="J690:R690" si="181">SUM(J689)</f>
        <v>545.1</v>
      </c>
      <c r="K690" s="47">
        <f t="shared" si="181"/>
        <v>26</v>
      </c>
      <c r="L690" s="225">
        <f t="shared" si="181"/>
        <v>1422960</v>
      </c>
      <c r="M690" s="225">
        <f t="shared" si="181"/>
        <v>0</v>
      </c>
      <c r="N690" s="225">
        <f t="shared" si="181"/>
        <v>0</v>
      </c>
      <c r="O690" s="225">
        <f t="shared" si="181"/>
        <v>0</v>
      </c>
      <c r="P690" s="225">
        <f t="shared" si="181"/>
        <v>1422960</v>
      </c>
      <c r="Q690" s="225">
        <f t="shared" si="181"/>
        <v>0</v>
      </c>
      <c r="R690" s="225">
        <f t="shared" si="181"/>
        <v>0</v>
      </c>
      <c r="S690" s="144"/>
      <c r="T690" s="41"/>
      <c r="U690" s="42"/>
      <c r="V690" s="161"/>
    </row>
    <row r="691" spans="1:22" ht="26.25" customHeight="1">
      <c r="A691" s="673" t="s">
        <v>1172</v>
      </c>
      <c r="B691" s="674"/>
      <c r="C691" s="478" t="s">
        <v>1164</v>
      </c>
      <c r="D691" s="478" t="s">
        <v>1164</v>
      </c>
      <c r="E691" s="478" t="s">
        <v>1164</v>
      </c>
      <c r="F691" s="478" t="s">
        <v>1164</v>
      </c>
      <c r="G691" s="478" t="s">
        <v>1164</v>
      </c>
      <c r="H691" s="478" t="s">
        <v>1164</v>
      </c>
      <c r="I691" s="675">
        <f>I671+I672+I673</f>
        <v>1251.0899999999999</v>
      </c>
      <c r="J691" s="675">
        <f>J671+J672+J673</f>
        <v>1113.0900000000001</v>
      </c>
      <c r="K691" s="675">
        <f t="shared" ref="K691:S691" si="182">K671+K672+K673</f>
        <v>59</v>
      </c>
      <c r="L691" s="675">
        <f t="shared" si="182"/>
        <v>3318084</v>
      </c>
      <c r="M691" s="675">
        <f t="shared" si="182"/>
        <v>0</v>
      </c>
      <c r="N691" s="675">
        <f t="shared" si="182"/>
        <v>0</v>
      </c>
      <c r="O691" s="675">
        <f t="shared" si="182"/>
        <v>0</v>
      </c>
      <c r="P691" s="675">
        <f t="shared" si="182"/>
        <v>3318084</v>
      </c>
      <c r="Q691" s="675">
        <f t="shared" si="182"/>
        <v>0</v>
      </c>
      <c r="R691" s="675">
        <f t="shared" si="182"/>
        <v>0</v>
      </c>
      <c r="S691" s="478" t="s">
        <v>1164</v>
      </c>
      <c r="T691" s="41"/>
      <c r="U691" s="42"/>
      <c r="V691" s="161"/>
    </row>
    <row r="692" spans="1:22" ht="49.5" customHeight="1">
      <c r="A692" s="574" t="s">
        <v>38</v>
      </c>
      <c r="B692" s="574"/>
      <c r="C692" s="478" t="s">
        <v>1164</v>
      </c>
      <c r="D692" s="463" t="s">
        <v>1164</v>
      </c>
      <c r="E692" s="463" t="s">
        <v>1164</v>
      </c>
      <c r="F692" s="463" t="s">
        <v>1164</v>
      </c>
      <c r="G692" s="463" t="s">
        <v>1164</v>
      </c>
      <c r="H692" s="463" t="s">
        <v>1164</v>
      </c>
      <c r="I692" s="464">
        <f>I342+I671+I672+I673</f>
        <v>1663.3999999999999</v>
      </c>
      <c r="J692" s="464">
        <f>J342+J671+J672+J673</f>
        <v>1479.83</v>
      </c>
      <c r="K692" s="477">
        <f>K342+K671+K672+K673</f>
        <v>82</v>
      </c>
      <c r="L692" s="461">
        <f>L342+L671+L672+L673</f>
        <v>4512262.03</v>
      </c>
      <c r="M692" s="484">
        <v>0</v>
      </c>
      <c r="N692" s="484">
        <v>0</v>
      </c>
      <c r="O692" s="484">
        <v>0</v>
      </c>
      <c r="P692" s="461">
        <f>P342+P671+P672+P673</f>
        <v>4512262.03</v>
      </c>
      <c r="Q692" s="484">
        <v>0</v>
      </c>
      <c r="R692" s="484">
        <v>0</v>
      </c>
      <c r="S692" s="478" t="s">
        <v>1164</v>
      </c>
      <c r="V692" s="161"/>
    </row>
    <row r="693" spans="1:22" ht="27.75" customHeight="1">
      <c r="V693" s="161"/>
    </row>
  </sheetData>
  <sheetProtection selectLockedCells="1" selectUnlockedCells="1"/>
  <autoFilter ref="A9:V690">
    <filterColumn colId="1">
      <filters>
        <filter val="пгт. Белая Березка, ул. Ленина, д. 18"/>
        <filter val="пгт. Белая Березка, ул. Ленина, д. 26"/>
        <filter val="пгт. Белая Березка, ул. Ленина, д. 9"/>
        <filter val="пгт. Белая Березка, ул. Чапаева, д. 6"/>
      </filters>
    </filterColumn>
  </autoFilter>
  <mergeCells count="181">
    <mergeCell ref="A670:B670"/>
    <mergeCell ref="A691:B691"/>
    <mergeCell ref="A692:B692"/>
    <mergeCell ref="L2:S2"/>
    <mergeCell ref="A678:S678"/>
    <mergeCell ref="A688:S688"/>
    <mergeCell ref="A677:B677"/>
    <mergeCell ref="A687:B687"/>
    <mergeCell ref="A690:B690"/>
    <mergeCell ref="A356:S356"/>
    <mergeCell ref="A358:S358"/>
    <mergeCell ref="A502:S502"/>
    <mergeCell ref="A493:S493"/>
    <mergeCell ref="A516:S516"/>
    <mergeCell ref="A661:B661"/>
    <mergeCell ref="A668:B668"/>
    <mergeCell ref="A674:B674"/>
    <mergeCell ref="A662:S662"/>
    <mergeCell ref="A669:S669"/>
    <mergeCell ref="A675:S675"/>
    <mergeCell ref="A651:B651"/>
    <mergeCell ref="A654:B654"/>
    <mergeCell ref="A657:B657"/>
    <mergeCell ref="A652:S652"/>
    <mergeCell ref="A655:S655"/>
    <mergeCell ref="A658:S658"/>
    <mergeCell ref="A638:B638"/>
    <mergeCell ref="A641:B641"/>
    <mergeCell ref="A648:B648"/>
    <mergeCell ref="A639:S639"/>
    <mergeCell ref="A642:S642"/>
    <mergeCell ref="A649:S649"/>
    <mergeCell ref="A627:B627"/>
    <mergeCell ref="A630:B630"/>
    <mergeCell ref="A634:B634"/>
    <mergeCell ref="A628:S628"/>
    <mergeCell ref="A631:S631"/>
    <mergeCell ref="A635:S635"/>
    <mergeCell ref="A615:B615"/>
    <mergeCell ref="A618:B618"/>
    <mergeCell ref="A622:B622"/>
    <mergeCell ref="A616:S616"/>
    <mergeCell ref="A619:S619"/>
    <mergeCell ref="A623:S623"/>
    <mergeCell ref="A600:B600"/>
    <mergeCell ref="A603:B603"/>
    <mergeCell ref="A611:B611"/>
    <mergeCell ref="A604:S604"/>
    <mergeCell ref="A612:S612"/>
    <mergeCell ref="A601:S601"/>
    <mergeCell ref="A586:B586"/>
    <mergeCell ref="A589:B589"/>
    <mergeCell ref="A592:B592"/>
    <mergeCell ref="A590:S590"/>
    <mergeCell ref="A593:S593"/>
    <mergeCell ref="A587:S587"/>
    <mergeCell ref="A569:B569"/>
    <mergeCell ref="A572:B572"/>
    <mergeCell ref="A583:B583"/>
    <mergeCell ref="A570:S570"/>
    <mergeCell ref="A573:S573"/>
    <mergeCell ref="A584:S584"/>
    <mergeCell ref="A556:B556"/>
    <mergeCell ref="A562:B562"/>
    <mergeCell ref="A566:B566"/>
    <mergeCell ref="A557:S557"/>
    <mergeCell ref="A567:S567"/>
    <mergeCell ref="A563:S563"/>
    <mergeCell ref="A545:B545"/>
    <mergeCell ref="A548:B548"/>
    <mergeCell ref="A552:B552"/>
    <mergeCell ref="A549:S549"/>
    <mergeCell ref="A553:S553"/>
    <mergeCell ref="A546:S546"/>
    <mergeCell ref="A520:B520"/>
    <mergeCell ref="A526:B526"/>
    <mergeCell ref="A530:B530"/>
    <mergeCell ref="A521:S521"/>
    <mergeCell ref="A527:S527"/>
    <mergeCell ref="A531:S531"/>
    <mergeCell ref="A492:B492"/>
    <mergeCell ref="A501:B501"/>
    <mergeCell ref="A515:B515"/>
    <mergeCell ref="A341:S341"/>
    <mergeCell ref="A344:S344"/>
    <mergeCell ref="A10:B10"/>
    <mergeCell ref="A357:B357"/>
    <mergeCell ref="A11:S11"/>
    <mergeCell ref="A340:B340"/>
    <mergeCell ref="A343:B343"/>
    <mergeCell ref="A355:B355"/>
    <mergeCell ref="A13:S13"/>
    <mergeCell ref="A160:S160"/>
    <mergeCell ref="A169:S169"/>
    <mergeCell ref="A184:S184"/>
    <mergeCell ref="A189:S189"/>
    <mergeCell ref="A323:B323"/>
    <mergeCell ref="A326:B326"/>
    <mergeCell ref="A331:B331"/>
    <mergeCell ref="A324:S324"/>
    <mergeCell ref="A327:S327"/>
    <mergeCell ref="A332:S332"/>
    <mergeCell ref="A312:B312"/>
    <mergeCell ref="A317:B317"/>
    <mergeCell ref="A320:B320"/>
    <mergeCell ref="A313:S313"/>
    <mergeCell ref="A318:S318"/>
    <mergeCell ref="A321:S321"/>
    <mergeCell ref="A300:B300"/>
    <mergeCell ref="A304:B304"/>
    <mergeCell ref="A308:B308"/>
    <mergeCell ref="A301:S301"/>
    <mergeCell ref="A305:S305"/>
    <mergeCell ref="A309:S309"/>
    <mergeCell ref="A289:B289"/>
    <mergeCell ref="A292:B292"/>
    <mergeCell ref="A297:B297"/>
    <mergeCell ref="A290:S290"/>
    <mergeCell ref="A293:S293"/>
    <mergeCell ref="A298:S298"/>
    <mergeCell ref="A273:B273"/>
    <mergeCell ref="A281:B281"/>
    <mergeCell ref="A286:B286"/>
    <mergeCell ref="A274:S274"/>
    <mergeCell ref="A282:S282"/>
    <mergeCell ref="A287:S287"/>
    <mergeCell ref="A261:B261"/>
    <mergeCell ref="A264:B264"/>
    <mergeCell ref="A270:B270"/>
    <mergeCell ref="A262:S262"/>
    <mergeCell ref="A265:S265"/>
    <mergeCell ref="A271:S271"/>
    <mergeCell ref="A242:B242"/>
    <mergeCell ref="A245:B245"/>
    <mergeCell ref="A258:B258"/>
    <mergeCell ref="A243:S243"/>
    <mergeCell ref="A246:S246"/>
    <mergeCell ref="A259:S259"/>
    <mergeCell ref="A233:B233"/>
    <mergeCell ref="A236:B236"/>
    <mergeCell ref="A239:B239"/>
    <mergeCell ref="A234:S234"/>
    <mergeCell ref="A237:S237"/>
    <mergeCell ref="A240:S240"/>
    <mergeCell ref="G4:G8"/>
    <mergeCell ref="A208:B208"/>
    <mergeCell ref="A225:B225"/>
    <mergeCell ref="A229:B229"/>
    <mergeCell ref="A209:S209"/>
    <mergeCell ref="A226:S226"/>
    <mergeCell ref="A230:S230"/>
    <mergeCell ref="A188:B188"/>
    <mergeCell ref="A197:B197"/>
    <mergeCell ref="A202:B202"/>
    <mergeCell ref="A198:S198"/>
    <mergeCell ref="A203:S203"/>
    <mergeCell ref="S4:S8"/>
    <mergeCell ref="P1:S1"/>
    <mergeCell ref="B3:P3"/>
    <mergeCell ref="A159:B159"/>
    <mergeCell ref="A168:B168"/>
    <mergeCell ref="A183:B183"/>
    <mergeCell ref="M6:M7"/>
    <mergeCell ref="N6:N7"/>
    <mergeCell ref="O6:O7"/>
    <mergeCell ref="L4:R4"/>
    <mergeCell ref="A12:B12"/>
    <mergeCell ref="M5:R5"/>
    <mergeCell ref="E4:E8"/>
    <mergeCell ref="R6:R7"/>
    <mergeCell ref="C4:C8"/>
    <mergeCell ref="H4:H8"/>
    <mergeCell ref="P6:Q6"/>
    <mergeCell ref="I4:I7"/>
    <mergeCell ref="J4:J7"/>
    <mergeCell ref="K4:K7"/>
    <mergeCell ref="L5:L7"/>
    <mergeCell ref="A4:A8"/>
    <mergeCell ref="B4:B8"/>
    <mergeCell ref="D4:D8"/>
    <mergeCell ref="F4:F8"/>
  </mergeCells>
  <pageMargins left="0.74803149606299213" right="0.19685039370078741" top="1.1023622047244095" bottom="0.43307086614173229" header="1.1023622047244095" footer="0.19685039370078741"/>
  <pageSetup paperSize="9" scale="75" firstPageNumber="9" orientation="landscape" useFirstPageNumber="1" r:id="rId1"/>
  <headerFooter alignWithMargins="0">
    <oddFooter>&amp;C&amp;"Arial Narrow,обычный"&amp;7&amp;P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N705"/>
  <sheetViews>
    <sheetView tabSelected="1" view="pageBreakPreview" zoomScale="115" zoomScaleNormal="115" zoomScaleSheetLayoutView="115" workbookViewId="0">
      <pane ySplit="11" topLeftCell="A344" activePane="bottomLeft" state="frozen"/>
      <selection pane="bottomLeft" activeCell="A693" sqref="A693:B693"/>
    </sheetView>
  </sheetViews>
  <sheetFormatPr defaultRowHeight="12.75"/>
  <cols>
    <col min="1" max="1" width="4.1640625" style="9" customWidth="1"/>
    <col min="2" max="2" width="35.83203125" style="9" customWidth="1"/>
    <col min="3" max="3" width="10.5" style="138" hidden="1" customWidth="1"/>
    <col min="4" max="4" width="9.5" style="138" hidden="1" customWidth="1"/>
    <col min="5" max="5" width="7.1640625" style="239" hidden="1" customWidth="1"/>
    <col min="6" max="6" width="9.6640625" style="239" hidden="1" customWidth="1"/>
    <col min="7" max="7" width="11.33203125" style="7" customWidth="1"/>
    <col min="8" max="8" width="9.83203125" style="7" customWidth="1"/>
    <col min="9" max="9" width="10.33203125" style="7" customWidth="1"/>
    <col min="10" max="10" width="7.6640625" style="239" hidden="1" customWidth="1"/>
    <col min="11" max="11" width="10.1640625" style="7" customWidth="1"/>
    <col min="12" max="12" width="8" style="239" hidden="1" customWidth="1"/>
    <col min="13" max="13" width="8.5" style="7" customWidth="1"/>
    <col min="14" max="14" width="6.5" style="239" hidden="1" customWidth="1"/>
    <col min="15" max="15" width="9" style="7" customWidth="1"/>
    <col min="16" max="16" width="7" style="239" hidden="1" customWidth="1"/>
    <col min="17" max="17" width="8.5" style="7" customWidth="1"/>
    <col min="18" max="18" width="6.33203125" style="239" hidden="1" customWidth="1"/>
    <col min="19" max="19" width="9.83203125" style="7" customWidth="1"/>
    <col min="20" max="20" width="3.83203125" style="246" customWidth="1"/>
    <col min="21" max="21" width="10" style="10" customWidth="1"/>
    <col min="22" max="22" width="8.1640625" style="325" customWidth="1"/>
    <col min="23" max="23" width="7.83203125" style="7" customWidth="1"/>
    <col min="24" max="24" width="11.33203125" style="7" customWidth="1"/>
    <col min="25" max="25" width="5.83203125" style="10" customWidth="1"/>
    <col min="26" max="26" width="7.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3.5" style="10" customWidth="1"/>
    <col min="39" max="39" width="8.33203125" style="275" hidden="1" customWidth="1"/>
    <col min="40" max="40" width="8.6640625" style="275" hidden="1" customWidth="1"/>
    <col min="41" max="16384" width="9.33203125" style="9"/>
  </cols>
  <sheetData>
    <row r="1" spans="1:40" s="19" customFormat="1" ht="53.25" customHeight="1">
      <c r="B1" s="327"/>
      <c r="C1" s="279"/>
      <c r="D1" s="279"/>
      <c r="E1" s="235"/>
      <c r="F1" s="235"/>
      <c r="G1" s="153"/>
      <c r="H1" s="153"/>
      <c r="I1" s="153"/>
      <c r="J1" s="444"/>
      <c r="K1" s="153"/>
      <c r="L1" s="444"/>
      <c r="M1" s="444"/>
      <c r="N1" s="444"/>
      <c r="O1" s="444"/>
      <c r="P1" s="444"/>
      <c r="Q1" s="444"/>
      <c r="R1" s="444"/>
      <c r="S1" s="444"/>
      <c r="T1" s="154"/>
      <c r="U1" s="158"/>
      <c r="V1" s="158"/>
      <c r="W1" s="158"/>
      <c r="Y1" s="159"/>
      <c r="Z1" s="159"/>
      <c r="AA1" s="432"/>
      <c r="AB1" s="432"/>
      <c r="AC1" s="432"/>
      <c r="AD1" s="432"/>
      <c r="AE1" s="432"/>
      <c r="AF1" s="432"/>
      <c r="AG1" s="432"/>
      <c r="AH1" s="432"/>
      <c r="AI1" s="580" t="s">
        <v>1170</v>
      </c>
      <c r="AJ1" s="580"/>
      <c r="AK1" s="580"/>
      <c r="AL1" s="580"/>
      <c r="AM1" s="274"/>
      <c r="AN1" s="274"/>
    </row>
    <row r="2" spans="1:40" s="19" customFormat="1" ht="97.5" customHeight="1">
      <c r="B2" s="327"/>
      <c r="C2" s="279"/>
      <c r="D2" s="279"/>
      <c r="E2" s="235"/>
      <c r="F2" s="235"/>
      <c r="G2" s="153"/>
      <c r="H2" s="153"/>
      <c r="I2" s="153"/>
      <c r="J2" s="444"/>
      <c r="K2" s="153"/>
      <c r="L2" s="444"/>
      <c r="M2" s="444"/>
      <c r="N2" s="444"/>
      <c r="O2" s="444"/>
      <c r="P2" s="444"/>
      <c r="Q2" s="444"/>
      <c r="R2" s="444"/>
      <c r="S2" s="444"/>
      <c r="T2" s="154"/>
      <c r="U2" s="158"/>
      <c r="V2" s="158"/>
      <c r="W2" s="158"/>
      <c r="Y2" s="159"/>
      <c r="Z2" s="159"/>
      <c r="AA2" s="432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274"/>
      <c r="AN2" s="274"/>
    </row>
    <row r="3" spans="1:40" s="19" customFormat="1" ht="27" customHeight="1">
      <c r="B3" s="327"/>
      <c r="C3" s="279"/>
      <c r="D3" s="279"/>
      <c r="E3" s="235"/>
      <c r="F3" s="235"/>
      <c r="G3" s="611" t="s">
        <v>1155</v>
      </c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442"/>
      <c r="AK3" s="442"/>
      <c r="AL3" s="442"/>
      <c r="AM3" s="274"/>
      <c r="AN3" s="274"/>
    </row>
    <row r="4" spans="1:40" s="19" customFormat="1" ht="9.75" customHeight="1">
      <c r="A4" s="333"/>
      <c r="B4" s="333"/>
      <c r="C4" s="334"/>
      <c r="D4" s="334"/>
      <c r="E4" s="334"/>
      <c r="F4" s="334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244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4"/>
      <c r="AN4" s="334"/>
    </row>
    <row r="5" spans="1:40" ht="21" customHeight="1">
      <c r="A5" s="626" t="s">
        <v>1030</v>
      </c>
      <c r="B5" s="626" t="s">
        <v>65</v>
      </c>
      <c r="C5" s="629" t="s">
        <v>1104</v>
      </c>
      <c r="D5" s="629" t="s">
        <v>1128</v>
      </c>
      <c r="E5" s="236"/>
      <c r="F5" s="236"/>
      <c r="G5" s="635" t="s">
        <v>90</v>
      </c>
      <c r="H5" s="583" t="s">
        <v>460</v>
      </c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95" t="s">
        <v>91</v>
      </c>
      <c r="AF5" s="655"/>
      <c r="AG5" s="655"/>
      <c r="AH5" s="655"/>
      <c r="AI5" s="655"/>
      <c r="AJ5" s="655"/>
      <c r="AK5" s="655"/>
      <c r="AL5" s="596"/>
      <c r="AM5" s="640" t="s">
        <v>1108</v>
      </c>
      <c r="AN5" s="640" t="s">
        <v>1109</v>
      </c>
    </row>
    <row r="6" spans="1:40" ht="21" customHeight="1">
      <c r="A6" s="627"/>
      <c r="B6" s="627"/>
      <c r="C6" s="630"/>
      <c r="D6" s="630"/>
      <c r="E6" s="237"/>
      <c r="F6" s="237"/>
      <c r="G6" s="636"/>
      <c r="H6" s="595" t="s">
        <v>1110</v>
      </c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596"/>
      <c r="T6" s="641" t="s">
        <v>93</v>
      </c>
      <c r="U6" s="642"/>
      <c r="V6" s="641" t="s">
        <v>94</v>
      </c>
      <c r="W6" s="650"/>
      <c r="X6" s="651"/>
      <c r="Y6" s="641" t="s">
        <v>95</v>
      </c>
      <c r="Z6" s="642"/>
      <c r="AA6" s="641" t="s">
        <v>96</v>
      </c>
      <c r="AB6" s="642"/>
      <c r="AC6" s="641" t="s">
        <v>97</v>
      </c>
      <c r="AD6" s="642"/>
      <c r="AE6" s="648" t="s">
        <v>59</v>
      </c>
      <c r="AF6" s="642"/>
      <c r="AG6" s="648" t="s">
        <v>1111</v>
      </c>
      <c r="AH6" s="642"/>
      <c r="AI6" s="645" t="s">
        <v>1112</v>
      </c>
      <c r="AJ6" s="645" t="s">
        <v>1113</v>
      </c>
      <c r="AK6" s="645" t="s">
        <v>1114</v>
      </c>
      <c r="AL6" s="645" t="s">
        <v>62</v>
      </c>
      <c r="AM6" s="640"/>
      <c r="AN6" s="640"/>
    </row>
    <row r="7" spans="1:40" ht="78" customHeight="1">
      <c r="A7" s="627"/>
      <c r="B7" s="627"/>
      <c r="C7" s="631"/>
      <c r="D7" s="631"/>
      <c r="E7" s="237"/>
      <c r="F7" s="237"/>
      <c r="G7" s="637"/>
      <c r="H7" s="222" t="s">
        <v>1115</v>
      </c>
      <c r="I7" s="222" t="s">
        <v>1148</v>
      </c>
      <c r="J7" s="638" t="s">
        <v>1149</v>
      </c>
      <c r="K7" s="639"/>
      <c r="L7" s="638" t="s">
        <v>1150</v>
      </c>
      <c r="M7" s="639"/>
      <c r="N7" s="638" t="s">
        <v>1151</v>
      </c>
      <c r="O7" s="639"/>
      <c r="P7" s="638" t="s">
        <v>1152</v>
      </c>
      <c r="Q7" s="639"/>
      <c r="R7" s="638" t="s">
        <v>1153</v>
      </c>
      <c r="S7" s="639"/>
      <c r="T7" s="643"/>
      <c r="U7" s="644"/>
      <c r="V7" s="652"/>
      <c r="W7" s="653"/>
      <c r="X7" s="654"/>
      <c r="Y7" s="643"/>
      <c r="Z7" s="644"/>
      <c r="AA7" s="643"/>
      <c r="AB7" s="644"/>
      <c r="AC7" s="643"/>
      <c r="AD7" s="644"/>
      <c r="AE7" s="643"/>
      <c r="AF7" s="644"/>
      <c r="AG7" s="643"/>
      <c r="AH7" s="644"/>
      <c r="AI7" s="646"/>
      <c r="AJ7" s="647"/>
      <c r="AK7" s="647"/>
      <c r="AL7" s="647"/>
      <c r="AM7" s="640"/>
      <c r="AN7" s="640"/>
    </row>
    <row r="8" spans="1:40" ht="9" customHeight="1">
      <c r="A8" s="627"/>
      <c r="B8" s="627"/>
      <c r="C8" s="656" t="s">
        <v>461</v>
      </c>
      <c r="D8" s="656" t="s">
        <v>461</v>
      </c>
      <c r="E8" s="237"/>
      <c r="F8" s="237"/>
      <c r="G8" s="635" t="s">
        <v>70</v>
      </c>
      <c r="H8" s="632" t="s">
        <v>70</v>
      </c>
      <c r="I8" s="632" t="s">
        <v>70</v>
      </c>
      <c r="J8" s="632" t="s">
        <v>1116</v>
      </c>
      <c r="K8" s="632" t="s">
        <v>70</v>
      </c>
      <c r="L8" s="632" t="s">
        <v>1116</v>
      </c>
      <c r="M8" s="632" t="s">
        <v>70</v>
      </c>
      <c r="N8" s="632" t="s">
        <v>1116</v>
      </c>
      <c r="O8" s="632" t="s">
        <v>70</v>
      </c>
      <c r="P8" s="632" t="s">
        <v>1116</v>
      </c>
      <c r="Q8" s="632" t="s">
        <v>70</v>
      </c>
      <c r="R8" s="632" t="s">
        <v>1116</v>
      </c>
      <c r="S8" s="632" t="s">
        <v>70</v>
      </c>
      <c r="T8" s="662" t="s">
        <v>98</v>
      </c>
      <c r="U8" s="626" t="s">
        <v>70</v>
      </c>
      <c r="V8" s="645" t="s">
        <v>1139</v>
      </c>
      <c r="W8" s="635" t="s">
        <v>461</v>
      </c>
      <c r="X8" s="635" t="s">
        <v>70</v>
      </c>
      <c r="Y8" s="626" t="s">
        <v>461</v>
      </c>
      <c r="Z8" s="626" t="s">
        <v>70</v>
      </c>
      <c r="AA8" s="626" t="s">
        <v>461</v>
      </c>
      <c r="AB8" s="626" t="s">
        <v>70</v>
      </c>
      <c r="AC8" s="626" t="s">
        <v>462</v>
      </c>
      <c r="AD8" s="626" t="s">
        <v>70</v>
      </c>
      <c r="AE8" s="626" t="s">
        <v>461</v>
      </c>
      <c r="AF8" s="626" t="s">
        <v>70</v>
      </c>
      <c r="AG8" s="626" t="s">
        <v>461</v>
      </c>
      <c r="AH8" s="626" t="s">
        <v>70</v>
      </c>
      <c r="AI8" s="626" t="s">
        <v>70</v>
      </c>
      <c r="AJ8" s="626" t="s">
        <v>70</v>
      </c>
      <c r="AK8" s="626" t="s">
        <v>70</v>
      </c>
      <c r="AL8" s="626" t="s">
        <v>70</v>
      </c>
      <c r="AM8" s="276" t="s">
        <v>1117</v>
      </c>
      <c r="AN8" s="276" t="s">
        <v>1118</v>
      </c>
    </row>
    <row r="9" spans="1:40" ht="9" customHeight="1">
      <c r="A9" s="627"/>
      <c r="B9" s="627"/>
      <c r="C9" s="657"/>
      <c r="D9" s="657"/>
      <c r="E9" s="237"/>
      <c r="F9" s="237"/>
      <c r="G9" s="636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63"/>
      <c r="U9" s="627"/>
      <c r="V9" s="649"/>
      <c r="W9" s="636"/>
      <c r="X9" s="636"/>
      <c r="Y9" s="627"/>
      <c r="Z9" s="627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7"/>
      <c r="AL9" s="627"/>
      <c r="AM9" s="277" t="s">
        <v>1119</v>
      </c>
      <c r="AN9" s="277" t="s">
        <v>1119</v>
      </c>
    </row>
    <row r="10" spans="1:40" ht="25.5" customHeight="1">
      <c r="A10" s="628"/>
      <c r="B10" s="628"/>
      <c r="C10" s="658"/>
      <c r="D10" s="658"/>
      <c r="E10" s="238"/>
      <c r="F10" s="238"/>
      <c r="G10" s="637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64"/>
      <c r="U10" s="628"/>
      <c r="V10" s="647"/>
      <c r="W10" s="637"/>
      <c r="X10" s="637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278" t="s">
        <v>1120</v>
      </c>
      <c r="AN10" s="278" t="s">
        <v>1120</v>
      </c>
    </row>
    <row r="11" spans="1:40" ht="12" customHeight="1">
      <c r="A11" s="151" t="s">
        <v>71</v>
      </c>
      <c r="B11" s="151" t="s">
        <v>72</v>
      </c>
      <c r="C11" s="137"/>
      <c r="D11" s="137"/>
      <c r="E11" s="137"/>
      <c r="F11" s="137"/>
      <c r="G11" s="443">
        <v>3</v>
      </c>
      <c r="H11" s="443">
        <v>4</v>
      </c>
      <c r="I11" s="443">
        <v>5</v>
      </c>
      <c r="J11" s="443"/>
      <c r="K11" s="443">
        <v>6</v>
      </c>
      <c r="L11" s="443"/>
      <c r="M11" s="443">
        <v>7</v>
      </c>
      <c r="N11" s="443"/>
      <c r="O11" s="443">
        <v>8</v>
      </c>
      <c r="P11" s="443"/>
      <c r="Q11" s="443">
        <v>9</v>
      </c>
      <c r="R11" s="443"/>
      <c r="S11" s="443">
        <v>10</v>
      </c>
      <c r="T11" s="443">
        <v>11</v>
      </c>
      <c r="U11" s="443">
        <v>12</v>
      </c>
      <c r="V11" s="443">
        <v>13</v>
      </c>
      <c r="W11" s="443">
        <v>14</v>
      </c>
      <c r="X11" s="443">
        <v>15</v>
      </c>
      <c r="Y11" s="443">
        <v>16</v>
      </c>
      <c r="Z11" s="443">
        <v>17</v>
      </c>
      <c r="AA11" s="443">
        <v>18</v>
      </c>
      <c r="AB11" s="443">
        <v>19</v>
      </c>
      <c r="AC11" s="443">
        <v>20</v>
      </c>
      <c r="AD11" s="443">
        <v>21</v>
      </c>
      <c r="AE11" s="443">
        <v>22</v>
      </c>
      <c r="AF11" s="443">
        <v>23</v>
      </c>
      <c r="AG11" s="443">
        <v>24</v>
      </c>
      <c r="AH11" s="443">
        <v>25</v>
      </c>
      <c r="AI11" s="443">
        <v>26</v>
      </c>
      <c r="AJ11" s="443">
        <v>27</v>
      </c>
      <c r="AK11" s="443">
        <v>28</v>
      </c>
      <c r="AL11" s="443">
        <v>29</v>
      </c>
      <c r="AM11" s="280"/>
      <c r="AN11" s="137"/>
    </row>
    <row r="12" spans="1:40" s="19" customFormat="1" ht="12" hidden="1" customHeight="1">
      <c r="A12" s="503" t="s">
        <v>1122</v>
      </c>
      <c r="B12" s="503"/>
      <c r="C12" s="445">
        <f>C14+C359</f>
        <v>1366929.0899999999</v>
      </c>
      <c r="D12" s="156"/>
      <c r="E12" s="54"/>
      <c r="F12" s="54"/>
      <c r="G12" s="445">
        <f t="shared" ref="G12:S12" si="0">ROUND(G14+G359,2)</f>
        <v>1594784851.46</v>
      </c>
      <c r="H12" s="445">
        <f t="shared" si="0"/>
        <v>81172189.590000004</v>
      </c>
      <c r="I12" s="445">
        <f t="shared" si="0"/>
        <v>12165300.640000001</v>
      </c>
      <c r="J12" s="445">
        <f t="shared" si="0"/>
        <v>10618.5</v>
      </c>
      <c r="K12" s="445">
        <f t="shared" si="0"/>
        <v>40684001.460000001</v>
      </c>
      <c r="L12" s="445">
        <f t="shared" si="0"/>
        <v>3011</v>
      </c>
      <c r="M12" s="445">
        <f t="shared" si="0"/>
        <v>5735574.29</v>
      </c>
      <c r="N12" s="445">
        <f t="shared" si="0"/>
        <v>3241</v>
      </c>
      <c r="O12" s="445">
        <f t="shared" si="0"/>
        <v>8972811</v>
      </c>
      <c r="P12" s="445">
        <f t="shared" si="0"/>
        <v>2726</v>
      </c>
      <c r="Q12" s="445">
        <f t="shared" si="0"/>
        <v>5273929.45</v>
      </c>
      <c r="R12" s="445">
        <f t="shared" si="0"/>
        <v>3603</v>
      </c>
      <c r="S12" s="445">
        <f t="shared" si="0"/>
        <v>8340572.75</v>
      </c>
      <c r="T12" s="156">
        <f>T14+T359</f>
        <v>26</v>
      </c>
      <c r="U12" s="445">
        <f>ROUND(U14+U359,2)</f>
        <v>51346224.579999998</v>
      </c>
      <c r="V12" s="54" t="s">
        <v>387</v>
      </c>
      <c r="W12" s="445">
        <f t="shared" ref="W12:AN12" si="1">ROUND(W14+W359,2)</f>
        <v>423062.55</v>
      </c>
      <c r="X12" s="445">
        <f t="shared" si="1"/>
        <v>1350799203.79</v>
      </c>
      <c r="Y12" s="445">
        <f t="shared" si="1"/>
        <v>512</v>
      </c>
      <c r="Z12" s="445">
        <f t="shared" si="1"/>
        <v>526064</v>
      </c>
      <c r="AA12" s="445">
        <f t="shared" si="1"/>
        <v>10239.219999999999</v>
      </c>
      <c r="AB12" s="445">
        <f t="shared" si="1"/>
        <v>22587036.84</v>
      </c>
      <c r="AC12" s="445">
        <f t="shared" si="1"/>
        <v>0</v>
      </c>
      <c r="AD12" s="445">
        <f t="shared" si="1"/>
        <v>0</v>
      </c>
      <c r="AE12" s="445">
        <f t="shared" si="1"/>
        <v>0</v>
      </c>
      <c r="AF12" s="445">
        <f t="shared" si="1"/>
        <v>0</v>
      </c>
      <c r="AG12" s="445">
        <f t="shared" si="1"/>
        <v>0</v>
      </c>
      <c r="AH12" s="445">
        <f t="shared" si="1"/>
        <v>0</v>
      </c>
      <c r="AI12" s="445">
        <f t="shared" si="1"/>
        <v>17550558.289999999</v>
      </c>
      <c r="AJ12" s="445">
        <f t="shared" si="1"/>
        <v>46397107.280000001</v>
      </c>
      <c r="AK12" s="445">
        <f t="shared" si="1"/>
        <v>24406467.09</v>
      </c>
      <c r="AL12" s="445">
        <f t="shared" si="1"/>
        <v>0</v>
      </c>
      <c r="AM12" s="445">
        <f t="shared" si="1"/>
        <v>0</v>
      </c>
      <c r="AN12" s="445">
        <f t="shared" si="1"/>
        <v>0</v>
      </c>
    </row>
    <row r="13" spans="1:40" s="19" customFormat="1" ht="15" hidden="1" customHeight="1">
      <c r="A13" s="660" t="s">
        <v>1037</v>
      </c>
      <c r="B13" s="661"/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</row>
    <row r="14" spans="1:40" s="19" customFormat="1" ht="11.25" hidden="1" customHeight="1">
      <c r="A14" s="503" t="s">
        <v>1017</v>
      </c>
      <c r="B14" s="503"/>
      <c r="C14" s="441">
        <f>C161+C170+C185+C190+C199+C204+C210+C227+C231+C235+C238+C241+C244+C247+C260+C263+C266+C272+C275+C283+C288+C291+C294+C299+C302+C306+C310+C314+C319+C322+C325+C328+C333+C342+C345+C357</f>
        <v>676973.30999999982</v>
      </c>
      <c r="D14" s="440" t="s">
        <v>1016</v>
      </c>
      <c r="E14" s="54"/>
      <c r="F14" s="54"/>
      <c r="G14" s="441">
        <f t="shared" ref="G14:U14" si="2">ROUND(G161+G170+G185+G190+G199+G204+G210+G227+G231+G235+G238+G241+G244+G247+G260+G263+G266+G272+G275+G283+G288+G291+G294+G299+G302+G306+G310+G314+G319+G322+G325+G328+G333+G342+G345+G357,2)</f>
        <v>806921981.61000001</v>
      </c>
      <c r="H14" s="441">
        <f t="shared" si="2"/>
        <v>57221743.140000001</v>
      </c>
      <c r="I14" s="441">
        <f t="shared" si="2"/>
        <v>9021404.3300000001</v>
      </c>
      <c r="J14" s="441">
        <f t="shared" si="2"/>
        <v>9848.5</v>
      </c>
      <c r="K14" s="441">
        <f t="shared" si="2"/>
        <v>27859344.66</v>
      </c>
      <c r="L14" s="441">
        <f t="shared" si="2"/>
        <v>2447</v>
      </c>
      <c r="M14" s="441">
        <f t="shared" si="2"/>
        <v>2914312.25</v>
      </c>
      <c r="N14" s="441">
        <f t="shared" si="2"/>
        <v>2796</v>
      </c>
      <c r="O14" s="441">
        <f t="shared" si="2"/>
        <v>6376470.6399999997</v>
      </c>
      <c r="P14" s="441">
        <f t="shared" si="2"/>
        <v>2726</v>
      </c>
      <c r="Q14" s="441">
        <f t="shared" si="2"/>
        <v>4235851.13</v>
      </c>
      <c r="R14" s="441">
        <f t="shared" si="2"/>
        <v>3282</v>
      </c>
      <c r="S14" s="441">
        <f t="shared" si="2"/>
        <v>6814360.1299999999</v>
      </c>
      <c r="T14" s="45">
        <f t="shared" si="2"/>
        <v>17</v>
      </c>
      <c r="U14" s="441">
        <f t="shared" si="2"/>
        <v>34469110.090000004</v>
      </c>
      <c r="V14" s="54" t="s">
        <v>387</v>
      </c>
      <c r="W14" s="441">
        <f t="shared" ref="W14:AJ14" si="3">ROUND(W161+W170+W185+W190+W199+W204+W210+W227+W231+W235+W238+W241+W244+W247+W260+W263+W266+W272+W275+W283+W288+W291+W294+W299+W302+W306+W310+W314+W319+W322+W325+W328+W333+W342+W345+W357,2)</f>
        <v>198927.98</v>
      </c>
      <c r="X14" s="441">
        <f t="shared" si="3"/>
        <v>645564183.58000004</v>
      </c>
      <c r="Y14" s="441">
        <f t="shared" si="3"/>
        <v>512</v>
      </c>
      <c r="Z14" s="441">
        <f t="shared" si="3"/>
        <v>526064</v>
      </c>
      <c r="AA14" s="441">
        <f t="shared" si="3"/>
        <v>9497.6200000000008</v>
      </c>
      <c r="AB14" s="441">
        <f t="shared" si="3"/>
        <v>21051329.41</v>
      </c>
      <c r="AC14" s="441">
        <f t="shared" si="3"/>
        <v>0</v>
      </c>
      <c r="AD14" s="441">
        <f t="shared" si="3"/>
        <v>0</v>
      </c>
      <c r="AE14" s="441">
        <f t="shared" si="3"/>
        <v>0</v>
      </c>
      <c r="AF14" s="441">
        <f t="shared" si="3"/>
        <v>0</v>
      </c>
      <c r="AG14" s="441">
        <f t="shared" si="3"/>
        <v>0</v>
      </c>
      <c r="AH14" s="441">
        <f t="shared" si="3"/>
        <v>0</v>
      </c>
      <c r="AI14" s="441">
        <f t="shared" si="3"/>
        <v>12739806.18</v>
      </c>
      <c r="AJ14" s="441">
        <f t="shared" si="3"/>
        <v>22761221.170000002</v>
      </c>
      <c r="AK14" s="441">
        <f>ROUND(AK161+AK170+AK185+AK190+AK199+AK204+AK210+AK227+AK231+AK235+AK238+AK241+AK244+AK247+AK260+AK263+AK266+AK272+AK275+AK283+AK288+AK291+AK294+AK299+AK302+AK306+AK310+AK314+AK319+AK322+AK325+AK328+AK333+AK342+AK345+AK357+0.01,2)</f>
        <v>12588524.039999999</v>
      </c>
      <c r="AL14" s="441">
        <f>ROUND(AL161+AL170+AL185+AL190+AL199+AL204+AL210+AL227+AL231+AL235+AL238+AL241+AL244+AL247+AL260+AL263+AL266+AL272+AL275+AL283+AL288+AL291+AL294+AL299+AL302+AL306+AL310+AL314+AL319+AL322+AL325+AL328+AL333+AL342+AL345+AL357,2)</f>
        <v>0</v>
      </c>
      <c r="AM14" s="352"/>
      <c r="AN14" s="352"/>
    </row>
    <row r="15" spans="1:40" s="19" customFormat="1" ht="9" hidden="1" customHeight="1">
      <c r="A15" s="519" t="s">
        <v>215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1"/>
    </row>
    <row r="16" spans="1:40" s="19" customFormat="1" ht="9" hidden="1" customHeight="1">
      <c r="A16" s="349">
        <v>1</v>
      </c>
      <c r="B16" s="112" t="s">
        <v>472</v>
      </c>
      <c r="C16" s="117">
        <v>1337.92</v>
      </c>
      <c r="D16" s="113"/>
      <c r="E16" s="258">
        <f t="shared" ref="E16:E47" si="4">G16-F16</f>
        <v>298785.91000000015</v>
      </c>
      <c r="F16" s="258">
        <v>3156384</v>
      </c>
      <c r="G16" s="117">
        <f>ROUND(H16+U16+X16+Z16+AB16+AD16+AF16+AH16+AI16+AJ16+AK16+AL16,2)</f>
        <v>3455169.91</v>
      </c>
      <c r="H16" s="348">
        <f>I16+K16+M16+O16+Q16+S16</f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348">
        <v>0</v>
      </c>
      <c r="O16" s="348">
        <v>0</v>
      </c>
      <c r="P16" s="348">
        <v>0</v>
      </c>
      <c r="Q16" s="348">
        <v>0</v>
      </c>
      <c r="R16" s="348">
        <v>0</v>
      </c>
      <c r="S16" s="348">
        <v>0</v>
      </c>
      <c r="T16" s="44">
        <v>0</v>
      </c>
      <c r="U16" s="348">
        <v>0</v>
      </c>
      <c r="V16" s="113" t="s">
        <v>998</v>
      </c>
      <c r="W16" s="348">
        <v>927</v>
      </c>
      <c r="X16" s="348">
        <v>3314553</v>
      </c>
      <c r="Y16" s="348">
        <v>0</v>
      </c>
      <c r="Z16" s="348">
        <v>0</v>
      </c>
      <c r="AA16" s="348">
        <v>0</v>
      </c>
      <c r="AB16" s="348">
        <v>0</v>
      </c>
      <c r="AC16" s="348">
        <v>0</v>
      </c>
      <c r="AD16" s="348">
        <v>0</v>
      </c>
      <c r="AE16" s="348">
        <v>0</v>
      </c>
      <c r="AF16" s="348">
        <v>0</v>
      </c>
      <c r="AG16" s="348">
        <v>0</v>
      </c>
      <c r="AH16" s="348">
        <v>0</v>
      </c>
      <c r="AI16" s="348">
        <v>0</v>
      </c>
      <c r="AJ16" s="351">
        <v>93271.15</v>
      </c>
      <c r="AK16" s="351">
        <v>47345.760000000002</v>
      </c>
      <c r="AL16" s="351">
        <v>0</v>
      </c>
      <c r="AM16" s="434">
        <f t="shared" ref="AM16:AM61" si="5">G16/W16</f>
        <v>3727.2598813376485</v>
      </c>
      <c r="AN16" s="350">
        <v>4621.88</v>
      </c>
    </row>
    <row r="17" spans="1:40" s="19" customFormat="1" ht="9" hidden="1" customHeight="1">
      <c r="A17" s="349">
        <v>2</v>
      </c>
      <c r="B17" s="112" t="s">
        <v>473</v>
      </c>
      <c r="C17" s="117">
        <v>3113.8</v>
      </c>
      <c r="D17" s="54"/>
      <c r="E17" s="258">
        <f t="shared" si="4"/>
        <v>-222812.58999999985</v>
      </c>
      <c r="F17" s="225">
        <v>2770554</v>
      </c>
      <c r="G17" s="117">
        <f t="shared" ref="G17:G32" si="6">ROUND(H17+U17+X17+Z17+AB17+AD17+AF17+AH17+AI17+AJ17+AK17+AL17,2)</f>
        <v>2547741.41</v>
      </c>
      <c r="H17" s="348">
        <f t="shared" ref="H17:H80" si="7">I17+K17+M17+O17+Q17+S17</f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348">
        <v>0</v>
      </c>
      <c r="O17" s="348">
        <v>0</v>
      </c>
      <c r="P17" s="348">
        <v>0</v>
      </c>
      <c r="Q17" s="348">
        <v>0</v>
      </c>
      <c r="R17" s="348">
        <v>0</v>
      </c>
      <c r="S17" s="348">
        <v>0</v>
      </c>
      <c r="T17" s="44">
        <v>0</v>
      </c>
      <c r="U17" s="348">
        <v>0</v>
      </c>
      <c r="V17" s="54" t="s">
        <v>997</v>
      </c>
      <c r="W17" s="348">
        <v>864.47</v>
      </c>
      <c r="X17" s="348">
        <v>2443430</v>
      </c>
      <c r="Y17" s="348">
        <v>0</v>
      </c>
      <c r="Z17" s="348">
        <v>0</v>
      </c>
      <c r="AA17" s="348">
        <v>0</v>
      </c>
      <c r="AB17" s="348">
        <v>0</v>
      </c>
      <c r="AC17" s="348">
        <v>0</v>
      </c>
      <c r="AD17" s="348">
        <v>0</v>
      </c>
      <c r="AE17" s="348">
        <v>0</v>
      </c>
      <c r="AF17" s="348">
        <v>0</v>
      </c>
      <c r="AG17" s="348">
        <v>0</v>
      </c>
      <c r="AH17" s="348">
        <v>0</v>
      </c>
      <c r="AI17" s="348">
        <v>0</v>
      </c>
      <c r="AJ17" s="351">
        <v>62753.1</v>
      </c>
      <c r="AK17" s="351">
        <v>41558.31</v>
      </c>
      <c r="AL17" s="351">
        <v>0</v>
      </c>
      <c r="AM17" s="434">
        <f t="shared" si="5"/>
        <v>2947.1715733339502</v>
      </c>
      <c r="AN17" s="350">
        <v>4814.95</v>
      </c>
    </row>
    <row r="18" spans="1:40" s="19" customFormat="1" ht="9" hidden="1" customHeight="1">
      <c r="A18" s="349">
        <v>3</v>
      </c>
      <c r="B18" s="112" t="s">
        <v>474</v>
      </c>
      <c r="C18" s="117">
        <v>3103.7</v>
      </c>
      <c r="D18" s="54"/>
      <c r="E18" s="258">
        <f t="shared" si="4"/>
        <v>-222812.58999999985</v>
      </c>
      <c r="F18" s="225">
        <v>2770554</v>
      </c>
      <c r="G18" s="117">
        <f t="shared" si="6"/>
        <v>2547741.41</v>
      </c>
      <c r="H18" s="348">
        <f t="shared" si="7"/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348">
        <v>0</v>
      </c>
      <c r="O18" s="348">
        <v>0</v>
      </c>
      <c r="P18" s="348">
        <v>0</v>
      </c>
      <c r="Q18" s="348">
        <v>0</v>
      </c>
      <c r="R18" s="348">
        <v>0</v>
      </c>
      <c r="S18" s="348">
        <v>0</v>
      </c>
      <c r="T18" s="44">
        <v>0</v>
      </c>
      <c r="U18" s="348">
        <v>0</v>
      </c>
      <c r="V18" s="54" t="s">
        <v>997</v>
      </c>
      <c r="W18" s="348">
        <v>864.47</v>
      </c>
      <c r="X18" s="348">
        <v>2443430</v>
      </c>
      <c r="Y18" s="348">
        <v>0</v>
      </c>
      <c r="Z18" s="348">
        <v>0</v>
      </c>
      <c r="AA18" s="348">
        <v>0</v>
      </c>
      <c r="AB18" s="348">
        <v>0</v>
      </c>
      <c r="AC18" s="348">
        <v>0</v>
      </c>
      <c r="AD18" s="348">
        <v>0</v>
      </c>
      <c r="AE18" s="348">
        <v>0</v>
      </c>
      <c r="AF18" s="348">
        <v>0</v>
      </c>
      <c r="AG18" s="348">
        <v>0</v>
      </c>
      <c r="AH18" s="348">
        <v>0</v>
      </c>
      <c r="AI18" s="348">
        <v>0</v>
      </c>
      <c r="AJ18" s="351">
        <v>62753.1</v>
      </c>
      <c r="AK18" s="351">
        <v>41558.31</v>
      </c>
      <c r="AL18" s="351">
        <v>0</v>
      </c>
      <c r="AM18" s="434">
        <f t="shared" si="5"/>
        <v>2947.1715733339502</v>
      </c>
      <c r="AN18" s="350">
        <v>4814.95</v>
      </c>
    </row>
    <row r="19" spans="1:40" s="19" customFormat="1" ht="9" hidden="1" customHeight="1">
      <c r="A19" s="349">
        <v>4</v>
      </c>
      <c r="B19" s="112" t="s">
        <v>475</v>
      </c>
      <c r="C19" s="117">
        <v>3133</v>
      </c>
      <c r="D19" s="54"/>
      <c r="E19" s="258">
        <f t="shared" si="4"/>
        <v>-222812.58999999985</v>
      </c>
      <c r="F19" s="225">
        <v>2770554</v>
      </c>
      <c r="G19" s="117">
        <f t="shared" si="6"/>
        <v>2547741.41</v>
      </c>
      <c r="H19" s="348">
        <f t="shared" si="7"/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348">
        <v>0</v>
      </c>
      <c r="O19" s="348">
        <v>0</v>
      </c>
      <c r="P19" s="348">
        <v>0</v>
      </c>
      <c r="Q19" s="348">
        <v>0</v>
      </c>
      <c r="R19" s="348">
        <v>0</v>
      </c>
      <c r="S19" s="348">
        <v>0</v>
      </c>
      <c r="T19" s="44">
        <v>0</v>
      </c>
      <c r="U19" s="348">
        <v>0</v>
      </c>
      <c r="V19" s="54" t="s">
        <v>997</v>
      </c>
      <c r="W19" s="348">
        <v>864.47</v>
      </c>
      <c r="X19" s="348">
        <v>2443430</v>
      </c>
      <c r="Y19" s="348">
        <v>0</v>
      </c>
      <c r="Z19" s="348">
        <v>0</v>
      </c>
      <c r="AA19" s="348">
        <v>0</v>
      </c>
      <c r="AB19" s="348">
        <v>0</v>
      </c>
      <c r="AC19" s="348">
        <v>0</v>
      </c>
      <c r="AD19" s="348">
        <v>0</v>
      </c>
      <c r="AE19" s="348">
        <v>0</v>
      </c>
      <c r="AF19" s="348">
        <v>0</v>
      </c>
      <c r="AG19" s="348">
        <v>0</v>
      </c>
      <c r="AH19" s="348">
        <v>0</v>
      </c>
      <c r="AI19" s="348">
        <v>0</v>
      </c>
      <c r="AJ19" s="351">
        <v>62753.1</v>
      </c>
      <c r="AK19" s="351">
        <v>41558.31</v>
      </c>
      <c r="AL19" s="351">
        <v>0</v>
      </c>
      <c r="AM19" s="434">
        <f t="shared" si="5"/>
        <v>2947.1715733339502</v>
      </c>
      <c r="AN19" s="350">
        <v>4814.95</v>
      </c>
    </row>
    <row r="20" spans="1:40" s="19" customFormat="1" ht="9" hidden="1" customHeight="1">
      <c r="A20" s="349">
        <v>5</v>
      </c>
      <c r="B20" s="112" t="s">
        <v>476</v>
      </c>
      <c r="C20" s="117">
        <v>3234.4</v>
      </c>
      <c r="D20" s="54"/>
      <c r="E20" s="258">
        <f t="shared" si="4"/>
        <v>-222812.58999999985</v>
      </c>
      <c r="F20" s="225">
        <v>2770554</v>
      </c>
      <c r="G20" s="117">
        <f t="shared" si="6"/>
        <v>2547741.41</v>
      </c>
      <c r="H20" s="348">
        <f t="shared" si="7"/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348">
        <v>0</v>
      </c>
      <c r="O20" s="348">
        <v>0</v>
      </c>
      <c r="P20" s="348">
        <v>0</v>
      </c>
      <c r="Q20" s="348">
        <v>0</v>
      </c>
      <c r="R20" s="348">
        <v>0</v>
      </c>
      <c r="S20" s="348">
        <v>0</v>
      </c>
      <c r="T20" s="44">
        <v>0</v>
      </c>
      <c r="U20" s="348">
        <v>0</v>
      </c>
      <c r="V20" s="54" t="s">
        <v>997</v>
      </c>
      <c r="W20" s="348">
        <v>864.47</v>
      </c>
      <c r="X20" s="348">
        <v>2443430</v>
      </c>
      <c r="Y20" s="348">
        <v>0</v>
      </c>
      <c r="Z20" s="348">
        <v>0</v>
      </c>
      <c r="AA20" s="348">
        <v>0</v>
      </c>
      <c r="AB20" s="348">
        <v>0</v>
      </c>
      <c r="AC20" s="348">
        <v>0</v>
      </c>
      <c r="AD20" s="348">
        <v>0</v>
      </c>
      <c r="AE20" s="348">
        <v>0</v>
      </c>
      <c r="AF20" s="348">
        <v>0</v>
      </c>
      <c r="AG20" s="348">
        <v>0</v>
      </c>
      <c r="AH20" s="348">
        <v>0</v>
      </c>
      <c r="AI20" s="348">
        <v>0</v>
      </c>
      <c r="AJ20" s="351">
        <v>62753.1</v>
      </c>
      <c r="AK20" s="351">
        <v>41558.31</v>
      </c>
      <c r="AL20" s="351">
        <v>0</v>
      </c>
      <c r="AM20" s="434">
        <f t="shared" si="5"/>
        <v>2947.1715733339502</v>
      </c>
      <c r="AN20" s="350">
        <v>4814.95</v>
      </c>
    </row>
    <row r="21" spans="1:40" s="19" customFormat="1" ht="9" hidden="1" customHeight="1">
      <c r="A21" s="349">
        <v>6</v>
      </c>
      <c r="B21" s="112" t="s">
        <v>477</v>
      </c>
      <c r="C21" s="117">
        <v>2881.9</v>
      </c>
      <c r="D21" s="54"/>
      <c r="E21" s="258">
        <f t="shared" si="4"/>
        <v>-127766.27000000002</v>
      </c>
      <c r="F21" s="225">
        <v>2417150</v>
      </c>
      <c r="G21" s="117">
        <f t="shared" si="6"/>
        <v>2289383.73</v>
      </c>
      <c r="H21" s="348">
        <f t="shared" si="7"/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348">
        <v>0</v>
      </c>
      <c r="O21" s="348">
        <v>0</v>
      </c>
      <c r="P21" s="348">
        <v>0</v>
      </c>
      <c r="Q21" s="348">
        <v>0</v>
      </c>
      <c r="R21" s="348">
        <v>0</v>
      </c>
      <c r="S21" s="348">
        <v>0</v>
      </c>
      <c r="T21" s="44">
        <v>0</v>
      </c>
      <c r="U21" s="348">
        <v>0</v>
      </c>
      <c r="V21" s="54" t="s">
        <v>997</v>
      </c>
      <c r="W21" s="348">
        <v>724.6</v>
      </c>
      <c r="X21" s="348">
        <v>2198378</v>
      </c>
      <c r="Y21" s="348">
        <v>0</v>
      </c>
      <c r="Z21" s="348">
        <v>0</v>
      </c>
      <c r="AA21" s="348">
        <v>0</v>
      </c>
      <c r="AB21" s="348">
        <v>0</v>
      </c>
      <c r="AC21" s="348">
        <v>0</v>
      </c>
      <c r="AD21" s="348">
        <v>0</v>
      </c>
      <c r="AE21" s="348">
        <v>0</v>
      </c>
      <c r="AF21" s="348">
        <v>0</v>
      </c>
      <c r="AG21" s="348">
        <v>0</v>
      </c>
      <c r="AH21" s="348">
        <v>0</v>
      </c>
      <c r="AI21" s="348">
        <v>0</v>
      </c>
      <c r="AJ21" s="351">
        <v>54748.480000000003</v>
      </c>
      <c r="AK21" s="351">
        <v>36257.25</v>
      </c>
      <c r="AL21" s="351">
        <v>0</v>
      </c>
      <c r="AM21" s="434">
        <f t="shared" si="5"/>
        <v>3159.5138421197903</v>
      </c>
      <c r="AN21" s="350">
        <v>4814.95</v>
      </c>
    </row>
    <row r="22" spans="1:40" s="19" customFormat="1" ht="9" hidden="1" customHeight="1">
      <c r="A22" s="349">
        <v>7</v>
      </c>
      <c r="B22" s="112" t="s">
        <v>478</v>
      </c>
      <c r="C22" s="117">
        <v>2377.6</v>
      </c>
      <c r="D22" s="54"/>
      <c r="E22" s="258">
        <f t="shared" si="4"/>
        <v>-481617.85000000009</v>
      </c>
      <c r="F22" s="225">
        <v>2890578</v>
      </c>
      <c r="G22" s="117">
        <f t="shared" si="6"/>
        <v>2408960.15</v>
      </c>
      <c r="H22" s="348">
        <f t="shared" si="7"/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348">
        <v>0</v>
      </c>
      <c r="O22" s="348">
        <v>0</v>
      </c>
      <c r="P22" s="348">
        <v>0</v>
      </c>
      <c r="Q22" s="348">
        <v>0</v>
      </c>
      <c r="R22" s="348">
        <v>0</v>
      </c>
      <c r="S22" s="348">
        <v>0</v>
      </c>
      <c r="T22" s="44">
        <v>0</v>
      </c>
      <c r="U22" s="348">
        <v>0</v>
      </c>
      <c r="V22" s="54" t="s">
        <v>997</v>
      </c>
      <c r="W22" s="348">
        <v>678.5</v>
      </c>
      <c r="X22" s="348">
        <v>2303165</v>
      </c>
      <c r="Y22" s="348">
        <v>0</v>
      </c>
      <c r="Z22" s="348">
        <v>0</v>
      </c>
      <c r="AA22" s="348">
        <v>0</v>
      </c>
      <c r="AB22" s="348">
        <v>0</v>
      </c>
      <c r="AC22" s="348">
        <v>0</v>
      </c>
      <c r="AD22" s="348">
        <v>0</v>
      </c>
      <c r="AE22" s="348">
        <v>0</v>
      </c>
      <c r="AF22" s="348">
        <v>0</v>
      </c>
      <c r="AG22" s="348">
        <v>0</v>
      </c>
      <c r="AH22" s="348">
        <v>0</v>
      </c>
      <c r="AI22" s="348">
        <v>0</v>
      </c>
      <c r="AJ22" s="351">
        <v>62436.480000000003</v>
      </c>
      <c r="AK22" s="351">
        <v>43358.67</v>
      </c>
      <c r="AL22" s="351">
        <v>0</v>
      </c>
      <c r="AM22" s="434">
        <f t="shared" si="5"/>
        <v>3550.4202652910831</v>
      </c>
      <c r="AN22" s="350">
        <v>4814.95</v>
      </c>
    </row>
    <row r="23" spans="1:40" s="19" customFormat="1" ht="9" hidden="1" customHeight="1">
      <c r="A23" s="349">
        <v>8</v>
      </c>
      <c r="B23" s="112" t="s">
        <v>479</v>
      </c>
      <c r="C23" s="117">
        <v>2525.73</v>
      </c>
      <c r="D23" s="113"/>
      <c r="E23" s="258">
        <f t="shared" si="4"/>
        <v>-88035.220000000205</v>
      </c>
      <c r="F23" s="258">
        <v>2865324</v>
      </c>
      <c r="G23" s="117">
        <f>ROUND(H23+U23+X23+Z23+AB23+AD23+AF23+AH23+AI23+AJ23+AK23+AL23,2)</f>
        <v>2777288.78</v>
      </c>
      <c r="H23" s="348">
        <f t="shared" si="7"/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348">
        <v>0</v>
      </c>
      <c r="O23" s="348">
        <v>0</v>
      </c>
      <c r="P23" s="348">
        <v>0</v>
      </c>
      <c r="Q23" s="348">
        <v>0</v>
      </c>
      <c r="R23" s="348">
        <v>0</v>
      </c>
      <c r="S23" s="348">
        <v>0</v>
      </c>
      <c r="T23" s="44">
        <v>0</v>
      </c>
      <c r="U23" s="348">
        <v>0</v>
      </c>
      <c r="V23" s="113" t="s">
        <v>998</v>
      </c>
      <c r="W23" s="348">
        <v>860</v>
      </c>
      <c r="X23" s="348">
        <v>2648779</v>
      </c>
      <c r="Y23" s="348">
        <v>0</v>
      </c>
      <c r="Z23" s="348">
        <v>0</v>
      </c>
      <c r="AA23" s="348">
        <v>0</v>
      </c>
      <c r="AB23" s="348">
        <v>0</v>
      </c>
      <c r="AC23" s="348">
        <v>0</v>
      </c>
      <c r="AD23" s="348">
        <v>0</v>
      </c>
      <c r="AE23" s="348">
        <v>0</v>
      </c>
      <c r="AF23" s="348">
        <v>0</v>
      </c>
      <c r="AG23" s="348">
        <v>0</v>
      </c>
      <c r="AH23" s="348">
        <v>0</v>
      </c>
      <c r="AI23" s="348">
        <v>0</v>
      </c>
      <c r="AJ23" s="351">
        <v>85529.919999999998</v>
      </c>
      <c r="AK23" s="351">
        <v>42979.86</v>
      </c>
      <c r="AL23" s="351">
        <v>0</v>
      </c>
      <c r="AM23" s="434">
        <f t="shared" si="5"/>
        <v>3229.4055581395346</v>
      </c>
      <c r="AN23" s="350">
        <v>4621.88</v>
      </c>
    </row>
    <row r="24" spans="1:40" s="19" customFormat="1" ht="9" hidden="1" customHeight="1">
      <c r="A24" s="349">
        <v>9</v>
      </c>
      <c r="B24" s="112" t="s">
        <v>480</v>
      </c>
      <c r="C24" s="117">
        <v>3098.8</v>
      </c>
      <c r="D24" s="54"/>
      <c r="E24" s="258">
        <f t="shared" si="4"/>
        <v>-448087.64999999991</v>
      </c>
      <c r="F24" s="225">
        <v>1600320</v>
      </c>
      <c r="G24" s="117">
        <f t="shared" si="6"/>
        <v>1152232.3500000001</v>
      </c>
      <c r="H24" s="348">
        <f t="shared" si="7"/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348">
        <v>0</v>
      </c>
      <c r="O24" s="348">
        <v>0</v>
      </c>
      <c r="P24" s="348">
        <v>0</v>
      </c>
      <c r="Q24" s="348">
        <v>0</v>
      </c>
      <c r="R24" s="348">
        <v>0</v>
      </c>
      <c r="S24" s="348">
        <v>0</v>
      </c>
      <c r="T24" s="44">
        <v>0</v>
      </c>
      <c r="U24" s="348">
        <v>0</v>
      </c>
      <c r="V24" s="54" t="s">
        <v>997</v>
      </c>
      <c r="W24" s="348">
        <v>426</v>
      </c>
      <c r="X24" s="348">
        <v>1080458</v>
      </c>
      <c r="Y24" s="348">
        <v>0</v>
      </c>
      <c r="Z24" s="348">
        <v>0</v>
      </c>
      <c r="AA24" s="348">
        <v>0</v>
      </c>
      <c r="AB24" s="348">
        <v>0</v>
      </c>
      <c r="AC24" s="348">
        <v>0</v>
      </c>
      <c r="AD24" s="348">
        <v>0</v>
      </c>
      <c r="AE24" s="348">
        <v>0</v>
      </c>
      <c r="AF24" s="348">
        <v>0</v>
      </c>
      <c r="AG24" s="348">
        <v>0</v>
      </c>
      <c r="AH24" s="348">
        <v>0</v>
      </c>
      <c r="AI24" s="348">
        <v>0</v>
      </c>
      <c r="AJ24" s="351">
        <v>47769.55</v>
      </c>
      <c r="AK24" s="351">
        <v>24004.799999999999</v>
      </c>
      <c r="AL24" s="351">
        <v>0</v>
      </c>
      <c r="AM24" s="434">
        <f t="shared" si="5"/>
        <v>2704.7707746478877</v>
      </c>
      <c r="AN24" s="350">
        <v>4814.95</v>
      </c>
    </row>
    <row r="25" spans="1:40" s="19" customFormat="1" ht="9" hidden="1" customHeight="1">
      <c r="A25" s="349">
        <v>10</v>
      </c>
      <c r="B25" s="112" t="s">
        <v>481</v>
      </c>
      <c r="C25" s="117">
        <v>1410.6</v>
      </c>
      <c r="D25" s="113"/>
      <c r="E25" s="258">
        <f t="shared" si="4"/>
        <v>234407.91999999993</v>
      </c>
      <c r="F25" s="258">
        <v>1853082</v>
      </c>
      <c r="G25" s="117">
        <f t="shared" si="6"/>
        <v>2087489.92</v>
      </c>
      <c r="H25" s="348">
        <f t="shared" si="7"/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348">
        <v>0</v>
      </c>
      <c r="O25" s="348">
        <v>0</v>
      </c>
      <c r="P25" s="348">
        <v>0</v>
      </c>
      <c r="Q25" s="348">
        <v>0</v>
      </c>
      <c r="R25" s="348">
        <v>0</v>
      </c>
      <c r="S25" s="348">
        <v>0</v>
      </c>
      <c r="T25" s="44">
        <v>0</v>
      </c>
      <c r="U25" s="348">
        <v>0</v>
      </c>
      <c r="V25" s="113" t="s">
        <v>998</v>
      </c>
      <c r="W25" s="348">
        <v>577.62</v>
      </c>
      <c r="X25" s="348">
        <v>2013274</v>
      </c>
      <c r="Y25" s="348">
        <v>0</v>
      </c>
      <c r="Z25" s="348">
        <v>0</v>
      </c>
      <c r="AA25" s="348">
        <v>0</v>
      </c>
      <c r="AB25" s="348">
        <v>0</v>
      </c>
      <c r="AC25" s="348">
        <v>0</v>
      </c>
      <c r="AD25" s="348">
        <v>0</v>
      </c>
      <c r="AE25" s="348">
        <v>0</v>
      </c>
      <c r="AF25" s="348">
        <v>0</v>
      </c>
      <c r="AG25" s="348">
        <v>0</v>
      </c>
      <c r="AH25" s="348">
        <v>0</v>
      </c>
      <c r="AI25" s="348">
        <v>0</v>
      </c>
      <c r="AJ25" s="351">
        <v>46419.69</v>
      </c>
      <c r="AK25" s="351">
        <v>27796.23</v>
      </c>
      <c r="AL25" s="351">
        <v>0</v>
      </c>
      <c r="AM25" s="434">
        <f t="shared" si="5"/>
        <v>3613.950209480281</v>
      </c>
      <c r="AN25" s="350">
        <v>4621.88</v>
      </c>
    </row>
    <row r="26" spans="1:40" s="19" customFormat="1" ht="9" hidden="1" customHeight="1">
      <c r="A26" s="349">
        <v>11</v>
      </c>
      <c r="B26" s="112" t="s">
        <v>482</v>
      </c>
      <c r="C26" s="117">
        <v>2579.1</v>
      </c>
      <c r="D26" s="113"/>
      <c r="E26" s="258">
        <f t="shared" si="4"/>
        <v>606920.14000000013</v>
      </c>
      <c r="F26" s="258">
        <v>3363360</v>
      </c>
      <c r="G26" s="117">
        <f t="shared" si="6"/>
        <v>3970280.14</v>
      </c>
      <c r="H26" s="348">
        <f t="shared" si="7"/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348">
        <v>0</v>
      </c>
      <c r="O26" s="348">
        <v>0</v>
      </c>
      <c r="P26" s="348">
        <v>0</v>
      </c>
      <c r="Q26" s="348">
        <v>0</v>
      </c>
      <c r="R26" s="348">
        <v>0</v>
      </c>
      <c r="S26" s="348">
        <v>0</v>
      </c>
      <c r="T26" s="44">
        <v>0</v>
      </c>
      <c r="U26" s="348">
        <v>0</v>
      </c>
      <c r="V26" s="113" t="s">
        <v>998</v>
      </c>
      <c r="W26" s="348">
        <v>1089</v>
      </c>
      <c r="X26" s="348">
        <v>3819433.44</v>
      </c>
      <c r="Y26" s="348">
        <v>0</v>
      </c>
      <c r="Z26" s="348">
        <v>0</v>
      </c>
      <c r="AA26" s="348">
        <v>0</v>
      </c>
      <c r="AB26" s="348">
        <v>0</v>
      </c>
      <c r="AC26" s="348">
        <v>0</v>
      </c>
      <c r="AD26" s="348">
        <v>0</v>
      </c>
      <c r="AE26" s="348">
        <v>0</v>
      </c>
      <c r="AF26" s="348">
        <v>0</v>
      </c>
      <c r="AG26" s="348">
        <v>0</v>
      </c>
      <c r="AH26" s="348">
        <v>0</v>
      </c>
      <c r="AI26" s="348">
        <v>0</v>
      </c>
      <c r="AJ26" s="351">
        <v>100396.3</v>
      </c>
      <c r="AK26" s="351">
        <v>50450.400000000001</v>
      </c>
      <c r="AL26" s="351">
        <v>0</v>
      </c>
      <c r="AM26" s="434">
        <f t="shared" si="5"/>
        <v>3645.8036179981636</v>
      </c>
      <c r="AN26" s="350">
        <v>4621.88</v>
      </c>
    </row>
    <row r="27" spans="1:40" s="19" customFormat="1" ht="9" hidden="1" customHeight="1">
      <c r="A27" s="349">
        <v>12</v>
      </c>
      <c r="B27" s="112" t="s">
        <v>483</v>
      </c>
      <c r="C27" s="117">
        <v>3781.6</v>
      </c>
      <c r="D27" s="113"/>
      <c r="E27" s="258">
        <f t="shared" si="4"/>
        <v>62778.860000000335</v>
      </c>
      <c r="F27" s="258">
        <v>6073452</v>
      </c>
      <c r="G27" s="117">
        <f t="shared" si="6"/>
        <v>6136230.8600000003</v>
      </c>
      <c r="H27" s="348">
        <f t="shared" si="7"/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348">
        <v>0</v>
      </c>
      <c r="O27" s="348">
        <v>0</v>
      </c>
      <c r="P27" s="348">
        <v>0</v>
      </c>
      <c r="Q27" s="348">
        <v>0</v>
      </c>
      <c r="R27" s="348">
        <v>0</v>
      </c>
      <c r="S27" s="348">
        <v>0</v>
      </c>
      <c r="T27" s="44">
        <v>0</v>
      </c>
      <c r="U27" s="348">
        <v>0</v>
      </c>
      <c r="V27" s="113" t="s">
        <v>998</v>
      </c>
      <c r="W27" s="348">
        <v>1671</v>
      </c>
      <c r="X27" s="348">
        <v>5863836.54</v>
      </c>
      <c r="Y27" s="348">
        <v>0</v>
      </c>
      <c r="Z27" s="348">
        <v>0</v>
      </c>
      <c r="AA27" s="348">
        <v>0</v>
      </c>
      <c r="AB27" s="348">
        <v>0</v>
      </c>
      <c r="AC27" s="348">
        <v>0</v>
      </c>
      <c r="AD27" s="348">
        <v>0</v>
      </c>
      <c r="AE27" s="348">
        <v>0</v>
      </c>
      <c r="AF27" s="348">
        <v>0</v>
      </c>
      <c r="AG27" s="348">
        <v>0</v>
      </c>
      <c r="AH27" s="348">
        <v>0</v>
      </c>
      <c r="AI27" s="348">
        <v>0</v>
      </c>
      <c r="AJ27" s="351">
        <v>181292.54</v>
      </c>
      <c r="AK27" s="351">
        <v>91101.78</v>
      </c>
      <c r="AL27" s="351">
        <v>0</v>
      </c>
      <c r="AM27" s="434">
        <f t="shared" si="5"/>
        <v>3672.1908198683427</v>
      </c>
      <c r="AN27" s="350">
        <v>4621.88</v>
      </c>
    </row>
    <row r="28" spans="1:40" s="19" customFormat="1" ht="9" hidden="1" customHeight="1">
      <c r="A28" s="349">
        <v>13</v>
      </c>
      <c r="B28" s="112" t="s">
        <v>484</v>
      </c>
      <c r="C28" s="117">
        <v>3819.7</v>
      </c>
      <c r="D28" s="113"/>
      <c r="E28" s="258">
        <f t="shared" si="4"/>
        <v>-135109.58999999985</v>
      </c>
      <c r="F28" s="258">
        <v>5724180</v>
      </c>
      <c r="G28" s="117">
        <f t="shared" si="6"/>
        <v>5589070.4100000001</v>
      </c>
      <c r="H28" s="348">
        <f t="shared" si="7"/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348">
        <v>0</v>
      </c>
      <c r="O28" s="348">
        <v>0</v>
      </c>
      <c r="P28" s="348">
        <v>0</v>
      </c>
      <c r="Q28" s="348">
        <v>0</v>
      </c>
      <c r="R28" s="348">
        <v>0</v>
      </c>
      <c r="S28" s="348">
        <v>0</v>
      </c>
      <c r="T28" s="44">
        <v>0</v>
      </c>
      <c r="U28" s="348">
        <v>0</v>
      </c>
      <c r="V28" s="113" t="s">
        <v>998</v>
      </c>
      <c r="W28" s="348">
        <v>1690</v>
      </c>
      <c r="X28" s="348">
        <v>5332340.9400000004</v>
      </c>
      <c r="Y28" s="348">
        <v>0</v>
      </c>
      <c r="Z28" s="348">
        <v>0</v>
      </c>
      <c r="AA28" s="348">
        <v>0</v>
      </c>
      <c r="AB28" s="348">
        <v>0</v>
      </c>
      <c r="AC28" s="348">
        <v>0</v>
      </c>
      <c r="AD28" s="348">
        <v>0</v>
      </c>
      <c r="AE28" s="348">
        <v>0</v>
      </c>
      <c r="AF28" s="348">
        <v>0</v>
      </c>
      <c r="AG28" s="348">
        <v>0</v>
      </c>
      <c r="AH28" s="348">
        <v>0</v>
      </c>
      <c r="AI28" s="348">
        <v>0</v>
      </c>
      <c r="AJ28" s="351">
        <v>170866.77</v>
      </c>
      <c r="AK28" s="351">
        <v>85862.7</v>
      </c>
      <c r="AL28" s="351">
        <v>0</v>
      </c>
      <c r="AM28" s="434">
        <f t="shared" si="5"/>
        <v>3307.1422544378697</v>
      </c>
      <c r="AN28" s="350">
        <v>4621.88</v>
      </c>
    </row>
    <row r="29" spans="1:40" s="19" customFormat="1" ht="9" hidden="1" customHeight="1">
      <c r="A29" s="349">
        <v>14</v>
      </c>
      <c r="B29" s="112" t="s">
        <v>485</v>
      </c>
      <c r="C29" s="117">
        <v>4509.6000000000004</v>
      </c>
      <c r="D29" s="113"/>
      <c r="E29" s="258">
        <f t="shared" si="4"/>
        <v>886124.84999999963</v>
      </c>
      <c r="F29" s="258">
        <v>4624620</v>
      </c>
      <c r="G29" s="117">
        <f t="shared" si="6"/>
        <v>5510744.8499999996</v>
      </c>
      <c r="H29" s="348">
        <f t="shared" si="7"/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348">
        <v>0</v>
      </c>
      <c r="O29" s="348">
        <v>0</v>
      </c>
      <c r="P29" s="348">
        <v>0</v>
      </c>
      <c r="Q29" s="348">
        <v>0</v>
      </c>
      <c r="R29" s="348">
        <v>0</v>
      </c>
      <c r="S29" s="348">
        <v>0</v>
      </c>
      <c r="T29" s="44">
        <v>0</v>
      </c>
      <c r="U29" s="348">
        <v>0</v>
      </c>
      <c r="V29" s="113" t="s">
        <v>998</v>
      </c>
      <c r="W29" s="348">
        <v>1499.2</v>
      </c>
      <c r="X29" s="348">
        <v>5303330.6399999997</v>
      </c>
      <c r="Y29" s="348">
        <v>0</v>
      </c>
      <c r="Z29" s="348">
        <v>0</v>
      </c>
      <c r="AA29" s="348">
        <v>0</v>
      </c>
      <c r="AB29" s="348">
        <v>0</v>
      </c>
      <c r="AC29" s="348">
        <v>0</v>
      </c>
      <c r="AD29" s="348">
        <v>0</v>
      </c>
      <c r="AE29" s="348">
        <v>0</v>
      </c>
      <c r="AF29" s="348">
        <v>0</v>
      </c>
      <c r="AG29" s="348">
        <v>0</v>
      </c>
      <c r="AH29" s="348">
        <v>0</v>
      </c>
      <c r="AI29" s="348">
        <v>0</v>
      </c>
      <c r="AJ29" s="351">
        <v>138044.91</v>
      </c>
      <c r="AK29" s="351">
        <v>69369.3</v>
      </c>
      <c r="AL29" s="351">
        <v>0</v>
      </c>
      <c r="AM29" s="434">
        <f t="shared" si="5"/>
        <v>3675.7903215048023</v>
      </c>
      <c r="AN29" s="350">
        <v>4621.88</v>
      </c>
    </row>
    <row r="30" spans="1:40" s="19" customFormat="1" ht="9" hidden="1" customHeight="1">
      <c r="A30" s="349">
        <v>15</v>
      </c>
      <c r="B30" s="112" t="s">
        <v>486</v>
      </c>
      <c r="C30" s="117">
        <v>4084.6</v>
      </c>
      <c r="D30" s="54"/>
      <c r="E30" s="258">
        <f t="shared" si="4"/>
        <v>396284.95999999996</v>
      </c>
      <c r="F30" s="225">
        <v>3624058</v>
      </c>
      <c r="G30" s="117">
        <f t="shared" si="6"/>
        <v>4020342.96</v>
      </c>
      <c r="H30" s="348">
        <f t="shared" si="7"/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348">
        <v>0</v>
      </c>
      <c r="O30" s="348">
        <v>0</v>
      </c>
      <c r="P30" s="348">
        <v>0</v>
      </c>
      <c r="Q30" s="348">
        <v>0</v>
      </c>
      <c r="R30" s="348">
        <v>0</v>
      </c>
      <c r="S30" s="348">
        <v>0</v>
      </c>
      <c r="T30" s="44">
        <v>0</v>
      </c>
      <c r="U30" s="348">
        <v>0</v>
      </c>
      <c r="V30" s="54" t="s">
        <v>997</v>
      </c>
      <c r="W30" s="348">
        <v>1191</v>
      </c>
      <c r="X30" s="348">
        <v>3884984.42</v>
      </c>
      <c r="Y30" s="348">
        <v>0</v>
      </c>
      <c r="Z30" s="348">
        <v>0</v>
      </c>
      <c r="AA30" s="348">
        <v>0</v>
      </c>
      <c r="AB30" s="348">
        <v>0</v>
      </c>
      <c r="AC30" s="348">
        <v>0</v>
      </c>
      <c r="AD30" s="348">
        <v>0</v>
      </c>
      <c r="AE30" s="348">
        <v>0</v>
      </c>
      <c r="AF30" s="348">
        <v>0</v>
      </c>
      <c r="AG30" s="348">
        <v>0</v>
      </c>
      <c r="AH30" s="348">
        <v>0</v>
      </c>
      <c r="AI30" s="348">
        <v>0</v>
      </c>
      <c r="AJ30" s="351">
        <v>80997.67</v>
      </c>
      <c r="AK30" s="351">
        <v>54360.87</v>
      </c>
      <c r="AL30" s="351">
        <v>0</v>
      </c>
      <c r="AM30" s="434">
        <f t="shared" si="5"/>
        <v>3375.6028211586899</v>
      </c>
      <c r="AN30" s="350">
        <v>4814.95</v>
      </c>
    </row>
    <row r="31" spans="1:40" s="19" customFormat="1" ht="9" hidden="1" customHeight="1">
      <c r="A31" s="349">
        <v>16</v>
      </c>
      <c r="B31" s="112" t="s">
        <v>487</v>
      </c>
      <c r="C31" s="117">
        <v>4230.7</v>
      </c>
      <c r="D31" s="54"/>
      <c r="E31" s="258">
        <f t="shared" si="4"/>
        <v>521205.20999999996</v>
      </c>
      <c r="F31" s="225">
        <v>3647396</v>
      </c>
      <c r="G31" s="117">
        <f t="shared" si="6"/>
        <v>4168601.21</v>
      </c>
      <c r="H31" s="348">
        <f t="shared" si="7"/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348">
        <v>0</v>
      </c>
      <c r="O31" s="348">
        <v>0</v>
      </c>
      <c r="P31" s="348">
        <v>0</v>
      </c>
      <c r="Q31" s="348">
        <v>0</v>
      </c>
      <c r="R31" s="348">
        <v>0</v>
      </c>
      <c r="S31" s="348">
        <v>0</v>
      </c>
      <c r="T31" s="44">
        <v>0</v>
      </c>
      <c r="U31" s="348">
        <v>0</v>
      </c>
      <c r="V31" s="54" t="s">
        <v>997</v>
      </c>
      <c r="W31" s="348">
        <v>1202</v>
      </c>
      <c r="X31" s="348">
        <v>4032371</v>
      </c>
      <c r="Y31" s="348">
        <v>0</v>
      </c>
      <c r="Z31" s="348">
        <v>0</v>
      </c>
      <c r="AA31" s="348">
        <v>0</v>
      </c>
      <c r="AB31" s="348">
        <v>0</v>
      </c>
      <c r="AC31" s="348">
        <v>0</v>
      </c>
      <c r="AD31" s="348">
        <v>0</v>
      </c>
      <c r="AE31" s="348">
        <v>0</v>
      </c>
      <c r="AF31" s="348">
        <v>0</v>
      </c>
      <c r="AG31" s="348">
        <v>0</v>
      </c>
      <c r="AH31" s="348">
        <v>0</v>
      </c>
      <c r="AI31" s="348">
        <v>0</v>
      </c>
      <c r="AJ31" s="351">
        <v>81519.27</v>
      </c>
      <c r="AK31" s="351">
        <v>54710.94</v>
      </c>
      <c r="AL31" s="351">
        <v>0</v>
      </c>
      <c r="AM31" s="434">
        <f t="shared" si="5"/>
        <v>3468.0542512479201</v>
      </c>
      <c r="AN31" s="350">
        <v>4814.95</v>
      </c>
    </row>
    <row r="32" spans="1:40" s="19" customFormat="1" ht="9" hidden="1" customHeight="1">
      <c r="A32" s="349">
        <v>17</v>
      </c>
      <c r="B32" s="112" t="s">
        <v>488</v>
      </c>
      <c r="C32" s="117">
        <v>4184.3</v>
      </c>
      <c r="D32" s="54"/>
      <c r="E32" s="258">
        <f t="shared" si="4"/>
        <v>408072.64999999991</v>
      </c>
      <c r="F32" s="225">
        <v>3630726</v>
      </c>
      <c r="G32" s="117">
        <f t="shared" si="6"/>
        <v>4038798.65</v>
      </c>
      <c r="H32" s="348">
        <f t="shared" si="7"/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348">
        <v>0</v>
      </c>
      <c r="O32" s="348">
        <v>0</v>
      </c>
      <c r="P32" s="348">
        <v>0</v>
      </c>
      <c r="Q32" s="348">
        <v>0</v>
      </c>
      <c r="R32" s="348">
        <v>0</v>
      </c>
      <c r="S32" s="348">
        <v>0</v>
      </c>
      <c r="T32" s="44">
        <v>0</v>
      </c>
      <c r="U32" s="348">
        <v>0</v>
      </c>
      <c r="V32" s="54" t="s">
        <v>997</v>
      </c>
      <c r="W32" s="348">
        <v>1197</v>
      </c>
      <c r="X32" s="348">
        <v>3903191.06</v>
      </c>
      <c r="Y32" s="348">
        <v>0</v>
      </c>
      <c r="Z32" s="348">
        <v>0</v>
      </c>
      <c r="AA32" s="348">
        <v>0</v>
      </c>
      <c r="AB32" s="348">
        <v>0</v>
      </c>
      <c r="AC32" s="348">
        <v>0</v>
      </c>
      <c r="AD32" s="348">
        <v>0</v>
      </c>
      <c r="AE32" s="348">
        <v>0</v>
      </c>
      <c r="AF32" s="348">
        <v>0</v>
      </c>
      <c r="AG32" s="348">
        <v>0</v>
      </c>
      <c r="AH32" s="348">
        <v>0</v>
      </c>
      <c r="AI32" s="348">
        <v>0</v>
      </c>
      <c r="AJ32" s="351">
        <v>81146.7</v>
      </c>
      <c r="AK32" s="351">
        <v>54460.89</v>
      </c>
      <c r="AL32" s="351">
        <v>0</v>
      </c>
      <c r="AM32" s="434">
        <f t="shared" si="5"/>
        <v>3374.1007936507935</v>
      </c>
      <c r="AN32" s="350">
        <v>4814.95</v>
      </c>
    </row>
    <row r="33" spans="1:40" s="19" customFormat="1" ht="9" hidden="1" customHeight="1">
      <c r="A33" s="349">
        <v>18</v>
      </c>
      <c r="B33" s="112" t="s">
        <v>489</v>
      </c>
      <c r="C33" s="117">
        <v>1458.8</v>
      </c>
      <c r="D33" s="54"/>
      <c r="E33" s="258">
        <f t="shared" si="4"/>
        <v>356500.17999999993</v>
      </c>
      <c r="F33" s="225">
        <v>1246916</v>
      </c>
      <c r="G33" s="117">
        <f>ROUND(H33+U33+X33+Z33+AB33+AD33+AF33+AH33+AI33+AJ33+AK33+AL33,2)</f>
        <v>1603416.18</v>
      </c>
      <c r="H33" s="348">
        <f t="shared" si="7"/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348">
        <v>0</v>
      </c>
      <c r="O33" s="348">
        <v>0</v>
      </c>
      <c r="P33" s="348">
        <v>0</v>
      </c>
      <c r="Q33" s="348">
        <v>0</v>
      </c>
      <c r="R33" s="348">
        <v>0</v>
      </c>
      <c r="S33" s="348">
        <v>0</v>
      </c>
      <c r="T33" s="44">
        <v>0</v>
      </c>
      <c r="U33" s="348">
        <v>0</v>
      </c>
      <c r="V33" s="54" t="s">
        <v>997</v>
      </c>
      <c r="W33" s="348">
        <v>401.8</v>
      </c>
      <c r="X33" s="348">
        <v>1547492</v>
      </c>
      <c r="Y33" s="348">
        <v>0</v>
      </c>
      <c r="Z33" s="348">
        <v>0</v>
      </c>
      <c r="AA33" s="348">
        <v>0</v>
      </c>
      <c r="AB33" s="348">
        <v>0</v>
      </c>
      <c r="AC33" s="348">
        <v>0</v>
      </c>
      <c r="AD33" s="348">
        <v>0</v>
      </c>
      <c r="AE33" s="348">
        <v>0</v>
      </c>
      <c r="AF33" s="348">
        <v>0</v>
      </c>
      <c r="AG33" s="348">
        <v>0</v>
      </c>
      <c r="AH33" s="348">
        <v>0</v>
      </c>
      <c r="AI33" s="348">
        <v>0</v>
      </c>
      <c r="AJ33" s="351">
        <v>37220.44</v>
      </c>
      <c r="AK33" s="351">
        <v>18703.740000000002</v>
      </c>
      <c r="AL33" s="351">
        <v>0</v>
      </c>
      <c r="AM33" s="434">
        <f t="shared" si="5"/>
        <v>3990.5828272772519</v>
      </c>
      <c r="AN33" s="350">
        <v>4814.95</v>
      </c>
    </row>
    <row r="34" spans="1:40" s="19" customFormat="1" ht="9" hidden="1" customHeight="1">
      <c r="A34" s="349">
        <v>19</v>
      </c>
      <c r="B34" s="112" t="s">
        <v>490</v>
      </c>
      <c r="C34" s="117">
        <v>2594.6</v>
      </c>
      <c r="D34" s="54"/>
      <c r="E34" s="258">
        <f t="shared" si="4"/>
        <v>399901.20000000019</v>
      </c>
      <c r="F34" s="225">
        <v>2587184</v>
      </c>
      <c r="G34" s="117">
        <f>ROUND(H34+U34+X34+Z34+AB34+AD34+AF34+AH34+AI34+AJ34+AK34+AL34,2)</f>
        <v>2987085.2</v>
      </c>
      <c r="H34" s="348">
        <f t="shared" si="7"/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348">
        <v>0</v>
      </c>
      <c r="O34" s="348">
        <v>0</v>
      </c>
      <c r="P34" s="348">
        <v>0</v>
      </c>
      <c r="Q34" s="348">
        <v>0</v>
      </c>
      <c r="R34" s="348">
        <v>0</v>
      </c>
      <c r="S34" s="348">
        <v>0</v>
      </c>
      <c r="T34" s="44">
        <v>0</v>
      </c>
      <c r="U34" s="348">
        <v>0</v>
      </c>
      <c r="V34" s="54" t="s">
        <v>997</v>
      </c>
      <c r="W34" s="348">
        <v>683.1</v>
      </c>
      <c r="X34" s="348">
        <v>2871050</v>
      </c>
      <c r="Y34" s="348">
        <v>0</v>
      </c>
      <c r="Z34" s="348">
        <v>0</v>
      </c>
      <c r="AA34" s="348">
        <v>0</v>
      </c>
      <c r="AB34" s="348">
        <v>0</v>
      </c>
      <c r="AC34" s="348">
        <v>0</v>
      </c>
      <c r="AD34" s="348">
        <v>0</v>
      </c>
      <c r="AE34" s="348">
        <v>0</v>
      </c>
      <c r="AF34" s="348">
        <v>0</v>
      </c>
      <c r="AG34" s="348">
        <v>0</v>
      </c>
      <c r="AH34" s="348">
        <v>0</v>
      </c>
      <c r="AI34" s="348">
        <v>0</v>
      </c>
      <c r="AJ34" s="351">
        <v>77227.44</v>
      </c>
      <c r="AK34" s="351">
        <v>38807.760000000002</v>
      </c>
      <c r="AL34" s="351">
        <v>0</v>
      </c>
      <c r="AM34" s="434">
        <f t="shared" si="5"/>
        <v>4372.8373590982292</v>
      </c>
      <c r="AN34" s="350">
        <v>4814.95</v>
      </c>
    </row>
    <row r="35" spans="1:40" s="19" customFormat="1" ht="9" hidden="1" customHeight="1">
      <c r="A35" s="349">
        <v>20</v>
      </c>
      <c r="B35" s="112" t="s">
        <v>491</v>
      </c>
      <c r="C35" s="117">
        <v>3421.9</v>
      </c>
      <c r="D35" s="54"/>
      <c r="E35" s="258">
        <f t="shared" si="4"/>
        <v>-201546.35000000009</v>
      </c>
      <c r="F35" s="225">
        <v>3327332</v>
      </c>
      <c r="G35" s="117">
        <f>ROUND(H35+U35+X35+Z35+AB35+AD35+AF35+AH35+AI35+AJ35+AK35+AL35,2)</f>
        <v>3125785.65</v>
      </c>
      <c r="H35" s="348">
        <f t="shared" si="7"/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348">
        <v>0</v>
      </c>
      <c r="O35" s="348">
        <v>0</v>
      </c>
      <c r="P35" s="348">
        <v>0</v>
      </c>
      <c r="Q35" s="348">
        <v>0</v>
      </c>
      <c r="R35" s="348">
        <v>0</v>
      </c>
      <c r="S35" s="348">
        <v>0</v>
      </c>
      <c r="T35" s="44">
        <v>0</v>
      </c>
      <c r="U35" s="348">
        <v>0</v>
      </c>
      <c r="V35" s="54" t="s">
        <v>997</v>
      </c>
      <c r="W35" s="348">
        <v>898</v>
      </c>
      <c r="X35" s="348">
        <v>3002508</v>
      </c>
      <c r="Y35" s="348">
        <v>0</v>
      </c>
      <c r="Z35" s="348">
        <v>0</v>
      </c>
      <c r="AA35" s="348">
        <v>0</v>
      </c>
      <c r="AB35" s="348">
        <v>0</v>
      </c>
      <c r="AC35" s="348">
        <v>0</v>
      </c>
      <c r="AD35" s="348">
        <v>0</v>
      </c>
      <c r="AE35" s="348">
        <v>0</v>
      </c>
      <c r="AF35" s="348">
        <v>0</v>
      </c>
      <c r="AG35" s="348">
        <v>0</v>
      </c>
      <c r="AH35" s="348">
        <v>0</v>
      </c>
      <c r="AI35" s="348">
        <v>0</v>
      </c>
      <c r="AJ35" s="351">
        <v>73367.67</v>
      </c>
      <c r="AK35" s="351">
        <v>49909.98</v>
      </c>
      <c r="AL35" s="351">
        <v>0</v>
      </c>
      <c r="AM35" s="434">
        <f t="shared" si="5"/>
        <v>3480.8303452115811</v>
      </c>
      <c r="AN35" s="350">
        <v>4814.95</v>
      </c>
    </row>
    <row r="36" spans="1:40" s="19" customFormat="1" ht="9" hidden="1" customHeight="1">
      <c r="A36" s="349">
        <v>21</v>
      </c>
      <c r="B36" s="112" t="s">
        <v>492</v>
      </c>
      <c r="C36" s="117">
        <v>1981.6</v>
      </c>
      <c r="D36" s="113"/>
      <c r="E36" s="258">
        <f t="shared" si="4"/>
        <v>0</v>
      </c>
      <c r="F36" s="258">
        <v>2865324</v>
      </c>
      <c r="G36" s="117">
        <v>2865324</v>
      </c>
      <c r="H36" s="348">
        <f t="shared" si="7"/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348">
        <v>0</v>
      </c>
      <c r="O36" s="348">
        <v>0</v>
      </c>
      <c r="P36" s="348">
        <v>0</v>
      </c>
      <c r="Q36" s="348">
        <v>0</v>
      </c>
      <c r="R36" s="348">
        <v>0</v>
      </c>
      <c r="S36" s="348">
        <v>0</v>
      </c>
      <c r="T36" s="44">
        <v>0</v>
      </c>
      <c r="U36" s="348">
        <v>0</v>
      </c>
      <c r="V36" s="113" t="s">
        <v>998</v>
      </c>
      <c r="W36" s="348">
        <v>886</v>
      </c>
      <c r="X36" s="348">
        <f t="shared" ref="X36:X68" si="8">ROUND(G36/100*95.5,2)</f>
        <v>2736384.42</v>
      </c>
      <c r="Y36" s="348">
        <v>0</v>
      </c>
      <c r="Z36" s="348">
        <v>0</v>
      </c>
      <c r="AA36" s="348">
        <v>0</v>
      </c>
      <c r="AB36" s="348">
        <v>0</v>
      </c>
      <c r="AC36" s="348">
        <v>0</v>
      </c>
      <c r="AD36" s="348">
        <v>0</v>
      </c>
      <c r="AE36" s="348">
        <v>0</v>
      </c>
      <c r="AF36" s="348">
        <v>0</v>
      </c>
      <c r="AG36" s="348">
        <v>0</v>
      </c>
      <c r="AH36" s="348">
        <v>0</v>
      </c>
      <c r="AI36" s="348">
        <v>0</v>
      </c>
      <c r="AJ36" s="351">
        <f t="shared" ref="AJ36:AJ68" si="9">ROUND(X36/95.5*3,2)</f>
        <v>85959.72</v>
      </c>
      <c r="AK36" s="351">
        <f t="shared" ref="AK36:AK45" si="10">ROUND(X36/95.5*1.5,2)</f>
        <v>42979.86</v>
      </c>
      <c r="AL36" s="351">
        <v>0</v>
      </c>
      <c r="AM36" s="434">
        <f t="shared" si="5"/>
        <v>3234</v>
      </c>
      <c r="AN36" s="350">
        <v>4621.88</v>
      </c>
    </row>
    <row r="37" spans="1:40" s="19" customFormat="1" ht="9" hidden="1" customHeight="1">
      <c r="A37" s="349">
        <v>22</v>
      </c>
      <c r="B37" s="112" t="s">
        <v>493</v>
      </c>
      <c r="C37" s="117">
        <v>2755.8</v>
      </c>
      <c r="D37" s="113"/>
      <c r="E37" s="258">
        <f t="shared" si="4"/>
        <v>735809.60000000009</v>
      </c>
      <c r="F37" s="258">
        <v>2823282</v>
      </c>
      <c r="G37" s="117">
        <f>ROUND(H37+U37+X37+Z37+AB37+AD37+AF37+AH37+AI37+AJ37+AK37+AL37,2)</f>
        <v>3559091.6</v>
      </c>
      <c r="H37" s="348">
        <f t="shared" si="7"/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348">
        <v>0</v>
      </c>
      <c r="O37" s="348">
        <v>0</v>
      </c>
      <c r="P37" s="348">
        <v>0</v>
      </c>
      <c r="Q37" s="348">
        <v>0</v>
      </c>
      <c r="R37" s="348">
        <v>0</v>
      </c>
      <c r="S37" s="348">
        <v>0</v>
      </c>
      <c r="T37" s="44">
        <v>0</v>
      </c>
      <c r="U37" s="348">
        <v>0</v>
      </c>
      <c r="V37" s="113" t="s">
        <v>998</v>
      </c>
      <c r="W37" s="348">
        <v>1014</v>
      </c>
      <c r="X37" s="348">
        <v>3454489</v>
      </c>
      <c r="Y37" s="348">
        <v>0</v>
      </c>
      <c r="Z37" s="348">
        <v>0</v>
      </c>
      <c r="AA37" s="348">
        <v>0</v>
      </c>
      <c r="AB37" s="348">
        <v>0</v>
      </c>
      <c r="AC37" s="348">
        <v>0</v>
      </c>
      <c r="AD37" s="348">
        <v>0</v>
      </c>
      <c r="AE37" s="348">
        <v>0</v>
      </c>
      <c r="AF37" s="348">
        <v>0</v>
      </c>
      <c r="AG37" s="348">
        <v>0</v>
      </c>
      <c r="AH37" s="348">
        <v>0</v>
      </c>
      <c r="AI37" s="348">
        <v>0</v>
      </c>
      <c r="AJ37" s="351">
        <v>62253.37</v>
      </c>
      <c r="AK37" s="351">
        <v>42349.23</v>
      </c>
      <c r="AL37" s="351">
        <v>0</v>
      </c>
      <c r="AM37" s="434">
        <f t="shared" si="5"/>
        <v>3509.9522682445759</v>
      </c>
      <c r="AN37" s="350">
        <v>4621.88</v>
      </c>
    </row>
    <row r="38" spans="1:40" s="19" customFormat="1" ht="9" hidden="1" customHeight="1">
      <c r="A38" s="349">
        <v>23</v>
      </c>
      <c r="B38" s="112" t="s">
        <v>494</v>
      </c>
      <c r="C38" s="117">
        <v>1934.6</v>
      </c>
      <c r="D38" s="113"/>
      <c r="E38" s="258">
        <f t="shared" si="4"/>
        <v>0</v>
      </c>
      <c r="F38" s="258">
        <v>2393160</v>
      </c>
      <c r="G38" s="117">
        <v>2393160</v>
      </c>
      <c r="H38" s="348">
        <f t="shared" si="7"/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348">
        <v>0</v>
      </c>
      <c r="O38" s="348">
        <v>0</v>
      </c>
      <c r="P38" s="348">
        <v>0</v>
      </c>
      <c r="Q38" s="348">
        <v>0</v>
      </c>
      <c r="R38" s="348">
        <v>0</v>
      </c>
      <c r="S38" s="348">
        <v>0</v>
      </c>
      <c r="T38" s="44">
        <v>0</v>
      </c>
      <c r="U38" s="348">
        <v>0</v>
      </c>
      <c r="V38" s="113" t="s">
        <v>998</v>
      </c>
      <c r="W38" s="348">
        <v>740</v>
      </c>
      <c r="X38" s="348">
        <f t="shared" si="8"/>
        <v>2285467.7999999998</v>
      </c>
      <c r="Y38" s="348">
        <v>0</v>
      </c>
      <c r="Z38" s="348">
        <v>0</v>
      </c>
      <c r="AA38" s="348">
        <v>0</v>
      </c>
      <c r="AB38" s="348">
        <v>0</v>
      </c>
      <c r="AC38" s="348">
        <v>0</v>
      </c>
      <c r="AD38" s="348">
        <v>0</v>
      </c>
      <c r="AE38" s="348">
        <v>0</v>
      </c>
      <c r="AF38" s="348">
        <v>0</v>
      </c>
      <c r="AG38" s="348">
        <v>0</v>
      </c>
      <c r="AH38" s="348">
        <v>0</v>
      </c>
      <c r="AI38" s="348">
        <v>0</v>
      </c>
      <c r="AJ38" s="351">
        <f t="shared" si="9"/>
        <v>71794.8</v>
      </c>
      <c r="AK38" s="351">
        <f t="shared" si="10"/>
        <v>35897.4</v>
      </c>
      <c r="AL38" s="351">
        <v>0</v>
      </c>
      <c r="AM38" s="434">
        <f t="shared" si="5"/>
        <v>3234</v>
      </c>
      <c r="AN38" s="350">
        <v>4621.88</v>
      </c>
    </row>
    <row r="39" spans="1:40" s="19" customFormat="1" ht="9" hidden="1" customHeight="1">
      <c r="A39" s="349">
        <v>24</v>
      </c>
      <c r="B39" s="112" t="s">
        <v>495</v>
      </c>
      <c r="C39" s="117">
        <v>2711</v>
      </c>
      <c r="D39" s="113"/>
      <c r="E39" s="258">
        <f t="shared" si="4"/>
        <v>-1546324.54</v>
      </c>
      <c r="F39" s="258">
        <v>5821200</v>
      </c>
      <c r="G39" s="117">
        <f>ROUND(H39+U39+X39+Z39+AB39+AD39+AF39+AH39+AI39+AJ39+AK39+AL39,2)</f>
        <v>4274875.46</v>
      </c>
      <c r="H39" s="348">
        <f t="shared" si="7"/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348">
        <v>0</v>
      </c>
      <c r="O39" s="348">
        <v>0</v>
      </c>
      <c r="P39" s="348">
        <v>0</v>
      </c>
      <c r="Q39" s="348">
        <v>0</v>
      </c>
      <c r="R39" s="348">
        <v>0</v>
      </c>
      <c r="S39" s="348">
        <v>0</v>
      </c>
      <c r="T39" s="44">
        <v>0</v>
      </c>
      <c r="U39" s="348">
        <v>0</v>
      </c>
      <c r="V39" s="113" t="s">
        <v>998</v>
      </c>
      <c r="W39" s="348">
        <v>1087</v>
      </c>
      <c r="X39" s="348">
        <v>4059200</v>
      </c>
      <c r="Y39" s="348">
        <v>0</v>
      </c>
      <c r="Z39" s="348">
        <v>0</v>
      </c>
      <c r="AA39" s="348">
        <v>0</v>
      </c>
      <c r="AB39" s="348">
        <v>0</v>
      </c>
      <c r="AC39" s="348">
        <v>0</v>
      </c>
      <c r="AD39" s="348">
        <v>0</v>
      </c>
      <c r="AE39" s="348">
        <v>0</v>
      </c>
      <c r="AF39" s="348">
        <v>0</v>
      </c>
      <c r="AG39" s="348">
        <v>0</v>
      </c>
      <c r="AH39" s="348">
        <v>0</v>
      </c>
      <c r="AI39" s="348">
        <v>0</v>
      </c>
      <c r="AJ39" s="351">
        <v>128357.46</v>
      </c>
      <c r="AK39" s="351">
        <v>87318</v>
      </c>
      <c r="AL39" s="351">
        <v>0</v>
      </c>
      <c r="AM39" s="434">
        <f t="shared" si="5"/>
        <v>3932.7281140754371</v>
      </c>
      <c r="AN39" s="350">
        <v>4621.88</v>
      </c>
    </row>
    <row r="40" spans="1:40" s="19" customFormat="1" ht="9" hidden="1" customHeight="1">
      <c r="A40" s="349">
        <v>25</v>
      </c>
      <c r="B40" s="112" t="s">
        <v>496</v>
      </c>
      <c r="C40" s="117">
        <v>6957.45</v>
      </c>
      <c r="D40" s="54"/>
      <c r="E40" s="258">
        <f t="shared" si="4"/>
        <v>-2967238.5</v>
      </c>
      <c r="F40" s="225">
        <v>8234980</v>
      </c>
      <c r="G40" s="117">
        <f>ROUND(H40+U40+X40+Z40+AB40+AD40+AF40+AH40+AI40+AJ40+AK40+AL40,2)</f>
        <v>5267741.5</v>
      </c>
      <c r="H40" s="348">
        <f t="shared" si="7"/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348">
        <v>0</v>
      </c>
      <c r="O40" s="348">
        <v>0</v>
      </c>
      <c r="P40" s="348">
        <v>0</v>
      </c>
      <c r="Q40" s="348">
        <v>0</v>
      </c>
      <c r="R40" s="348">
        <v>0</v>
      </c>
      <c r="S40" s="348">
        <v>0</v>
      </c>
      <c r="T40" s="44">
        <v>0</v>
      </c>
      <c r="U40" s="348">
        <v>0</v>
      </c>
      <c r="V40" s="54" t="s">
        <v>997</v>
      </c>
      <c r="W40" s="348">
        <v>1962</v>
      </c>
      <c r="X40" s="348">
        <v>4960165</v>
      </c>
      <c r="Y40" s="348">
        <v>0</v>
      </c>
      <c r="Z40" s="348">
        <v>0</v>
      </c>
      <c r="AA40" s="348">
        <v>0</v>
      </c>
      <c r="AB40" s="348">
        <v>0</v>
      </c>
      <c r="AC40" s="348">
        <v>0</v>
      </c>
      <c r="AD40" s="348">
        <v>0</v>
      </c>
      <c r="AE40" s="348">
        <v>0</v>
      </c>
      <c r="AF40" s="348">
        <v>0</v>
      </c>
      <c r="AG40" s="348">
        <v>0</v>
      </c>
      <c r="AH40" s="348">
        <v>0</v>
      </c>
      <c r="AI40" s="348">
        <v>0</v>
      </c>
      <c r="AJ40" s="351">
        <v>184051.8</v>
      </c>
      <c r="AK40" s="351">
        <v>123524.7</v>
      </c>
      <c r="AL40" s="351">
        <v>0</v>
      </c>
      <c r="AM40" s="434">
        <f t="shared" si="5"/>
        <v>2684.8835372069316</v>
      </c>
      <c r="AN40" s="350">
        <v>4814.95</v>
      </c>
    </row>
    <row r="41" spans="1:40" s="19" customFormat="1" ht="9" hidden="1" customHeight="1">
      <c r="A41" s="349">
        <v>26</v>
      </c>
      <c r="B41" s="112" t="s">
        <v>497</v>
      </c>
      <c r="C41" s="117">
        <v>7495.9</v>
      </c>
      <c r="D41" s="54"/>
      <c r="E41" s="258">
        <f t="shared" si="4"/>
        <v>204743.20999999996</v>
      </c>
      <c r="F41" s="225">
        <v>4580916</v>
      </c>
      <c r="G41" s="117">
        <f>ROUND(H41+U41+X41+Z41+AB41+AD41+AF41+AH41+AI41+AJ41+AK41+AL41,2)</f>
        <v>4785659.21</v>
      </c>
      <c r="H41" s="348">
        <f t="shared" si="7"/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348">
        <v>0</v>
      </c>
      <c r="O41" s="348">
        <v>0</v>
      </c>
      <c r="P41" s="348">
        <v>0</v>
      </c>
      <c r="Q41" s="348">
        <v>0</v>
      </c>
      <c r="R41" s="348">
        <v>0</v>
      </c>
      <c r="S41" s="348">
        <v>0</v>
      </c>
      <c r="T41" s="44">
        <v>0</v>
      </c>
      <c r="U41" s="348">
        <v>0</v>
      </c>
      <c r="V41" s="54" t="s">
        <v>997</v>
      </c>
      <c r="W41" s="348">
        <v>2155</v>
      </c>
      <c r="X41" s="348">
        <v>4614562</v>
      </c>
      <c r="Y41" s="348">
        <v>0</v>
      </c>
      <c r="Z41" s="348">
        <v>0</v>
      </c>
      <c r="AA41" s="348">
        <v>0</v>
      </c>
      <c r="AB41" s="348">
        <v>0</v>
      </c>
      <c r="AC41" s="348">
        <v>0</v>
      </c>
      <c r="AD41" s="348">
        <v>0</v>
      </c>
      <c r="AE41" s="348">
        <v>0</v>
      </c>
      <c r="AF41" s="348">
        <v>0</v>
      </c>
      <c r="AG41" s="348">
        <v>0</v>
      </c>
      <c r="AH41" s="348">
        <v>0</v>
      </c>
      <c r="AI41" s="348">
        <v>0</v>
      </c>
      <c r="AJ41" s="351">
        <v>102383.47</v>
      </c>
      <c r="AK41" s="351">
        <v>68713.740000000005</v>
      </c>
      <c r="AL41" s="351">
        <v>0</v>
      </c>
      <c r="AM41" s="434">
        <f t="shared" si="5"/>
        <v>2220.723531322506</v>
      </c>
      <c r="AN41" s="350">
        <v>4814.95</v>
      </c>
    </row>
    <row r="42" spans="1:40" s="19" customFormat="1" ht="9" hidden="1" customHeight="1">
      <c r="A42" s="349">
        <v>27</v>
      </c>
      <c r="B42" s="112" t="s">
        <v>498</v>
      </c>
      <c r="C42" s="117">
        <v>750.8</v>
      </c>
      <c r="D42" s="113"/>
      <c r="E42" s="258">
        <f t="shared" si="4"/>
        <v>231739.58000000007</v>
      </c>
      <c r="F42" s="258">
        <v>2668050</v>
      </c>
      <c r="G42" s="117">
        <f t="shared" ref="G42:G44" si="11">ROUND(H42+U42+X42+Z42+AB42+AD42+AF42+AH42+AI42+AJ42+AK42+AL42,2)</f>
        <v>2899789.58</v>
      </c>
      <c r="H42" s="348">
        <f t="shared" si="7"/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348">
        <v>0</v>
      </c>
      <c r="O42" s="348">
        <v>0</v>
      </c>
      <c r="P42" s="348">
        <v>0</v>
      </c>
      <c r="Q42" s="348">
        <v>0</v>
      </c>
      <c r="R42" s="348">
        <v>0</v>
      </c>
      <c r="S42" s="348">
        <v>0</v>
      </c>
      <c r="T42" s="44">
        <v>0</v>
      </c>
      <c r="U42" s="348">
        <v>0</v>
      </c>
      <c r="V42" s="113" t="s">
        <v>998</v>
      </c>
      <c r="W42" s="348">
        <v>877</v>
      </c>
      <c r="X42" s="348">
        <v>2780127.54</v>
      </c>
      <c r="Y42" s="348">
        <v>0</v>
      </c>
      <c r="Z42" s="348">
        <v>0</v>
      </c>
      <c r="AA42" s="348">
        <v>0</v>
      </c>
      <c r="AB42" s="348">
        <v>0</v>
      </c>
      <c r="AC42" s="348">
        <v>0</v>
      </c>
      <c r="AD42" s="348">
        <v>0</v>
      </c>
      <c r="AE42" s="348">
        <v>0</v>
      </c>
      <c r="AF42" s="348">
        <v>0</v>
      </c>
      <c r="AG42" s="348">
        <v>0</v>
      </c>
      <c r="AH42" s="348">
        <v>0</v>
      </c>
      <c r="AI42" s="348">
        <v>0</v>
      </c>
      <c r="AJ42" s="351">
        <v>79641.289999999994</v>
      </c>
      <c r="AK42" s="351">
        <v>40020.75</v>
      </c>
      <c r="AL42" s="351">
        <v>0</v>
      </c>
      <c r="AM42" s="434">
        <f t="shared" si="5"/>
        <v>3306.4875484606614</v>
      </c>
      <c r="AN42" s="350">
        <v>4621.88</v>
      </c>
    </row>
    <row r="43" spans="1:40" s="19" customFormat="1" ht="9" hidden="1" customHeight="1">
      <c r="A43" s="349">
        <v>28</v>
      </c>
      <c r="B43" s="112" t="s">
        <v>499</v>
      </c>
      <c r="C43" s="117">
        <v>3960.7</v>
      </c>
      <c r="D43" s="54"/>
      <c r="E43" s="258">
        <f t="shared" si="4"/>
        <v>-748000.75999999978</v>
      </c>
      <c r="F43" s="225">
        <v>6668000</v>
      </c>
      <c r="G43" s="117">
        <f t="shared" si="11"/>
        <v>5919999.2400000002</v>
      </c>
      <c r="H43" s="348">
        <f t="shared" si="7"/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348">
        <v>0</v>
      </c>
      <c r="O43" s="348">
        <v>0</v>
      </c>
      <c r="P43" s="348">
        <v>0</v>
      </c>
      <c r="Q43" s="348">
        <v>0</v>
      </c>
      <c r="R43" s="348">
        <v>0</v>
      </c>
      <c r="S43" s="348">
        <v>0</v>
      </c>
      <c r="T43" s="44">
        <v>0</v>
      </c>
      <c r="U43" s="348">
        <v>0</v>
      </c>
      <c r="V43" s="54" t="s">
        <v>997</v>
      </c>
      <c r="W43" s="348">
        <v>1312</v>
      </c>
      <c r="X43" s="348">
        <v>5620939.4400000004</v>
      </c>
      <c r="Y43" s="348">
        <v>0</v>
      </c>
      <c r="Z43" s="348">
        <v>0</v>
      </c>
      <c r="AA43" s="348">
        <v>0</v>
      </c>
      <c r="AB43" s="348">
        <v>0</v>
      </c>
      <c r="AC43" s="348">
        <v>0</v>
      </c>
      <c r="AD43" s="348">
        <v>0</v>
      </c>
      <c r="AE43" s="348">
        <v>0</v>
      </c>
      <c r="AF43" s="348">
        <v>0</v>
      </c>
      <c r="AG43" s="348">
        <v>0</v>
      </c>
      <c r="AH43" s="348">
        <v>0</v>
      </c>
      <c r="AI43" s="348">
        <v>0</v>
      </c>
      <c r="AJ43" s="351">
        <v>199039.8</v>
      </c>
      <c r="AK43" s="351">
        <v>100020</v>
      </c>
      <c r="AL43" s="351">
        <v>0</v>
      </c>
      <c r="AM43" s="434">
        <f t="shared" si="5"/>
        <v>4512.194542682927</v>
      </c>
      <c r="AN43" s="350">
        <v>4814.95</v>
      </c>
    </row>
    <row r="44" spans="1:40" s="19" customFormat="1" ht="9" hidden="1" customHeight="1">
      <c r="A44" s="349">
        <v>29</v>
      </c>
      <c r="B44" s="112" t="s">
        <v>500</v>
      </c>
      <c r="C44" s="117">
        <v>3936.1</v>
      </c>
      <c r="D44" s="54"/>
      <c r="E44" s="258">
        <f t="shared" si="4"/>
        <v>-177408.47999999998</v>
      </c>
      <c r="F44" s="225">
        <v>4000800</v>
      </c>
      <c r="G44" s="117">
        <f t="shared" si="11"/>
        <v>3823391.52</v>
      </c>
      <c r="H44" s="348">
        <f t="shared" si="7"/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348">
        <v>0</v>
      </c>
      <c r="O44" s="348">
        <v>0</v>
      </c>
      <c r="P44" s="348">
        <v>0</v>
      </c>
      <c r="Q44" s="348">
        <v>0</v>
      </c>
      <c r="R44" s="348">
        <v>0</v>
      </c>
      <c r="S44" s="348">
        <v>0</v>
      </c>
      <c r="T44" s="44">
        <v>0</v>
      </c>
      <c r="U44" s="348">
        <v>0</v>
      </c>
      <c r="V44" s="54" t="s">
        <v>997</v>
      </c>
      <c r="W44" s="348">
        <v>1055</v>
      </c>
      <c r="X44" s="348">
        <v>3643955.64</v>
      </c>
      <c r="Y44" s="348">
        <v>0</v>
      </c>
      <c r="Z44" s="348">
        <v>0</v>
      </c>
      <c r="AA44" s="348">
        <v>0</v>
      </c>
      <c r="AB44" s="348">
        <v>0</v>
      </c>
      <c r="AC44" s="348">
        <v>0</v>
      </c>
      <c r="AD44" s="348">
        <v>0</v>
      </c>
      <c r="AE44" s="348">
        <v>0</v>
      </c>
      <c r="AF44" s="348">
        <v>0</v>
      </c>
      <c r="AG44" s="348">
        <v>0</v>
      </c>
      <c r="AH44" s="348">
        <v>0</v>
      </c>
      <c r="AI44" s="348">
        <v>0</v>
      </c>
      <c r="AJ44" s="351">
        <v>119423.88</v>
      </c>
      <c r="AK44" s="351">
        <v>60012</v>
      </c>
      <c r="AL44" s="351">
        <v>0</v>
      </c>
      <c r="AM44" s="434">
        <f t="shared" si="5"/>
        <v>3624.0677914691942</v>
      </c>
      <c r="AN44" s="350">
        <v>4814.95</v>
      </c>
    </row>
    <row r="45" spans="1:40" s="19" customFormat="1" ht="9" hidden="1" customHeight="1">
      <c r="A45" s="349">
        <v>30</v>
      </c>
      <c r="B45" s="112" t="s">
        <v>501</v>
      </c>
      <c r="C45" s="117">
        <v>3164.8</v>
      </c>
      <c r="D45" s="54"/>
      <c r="E45" s="258">
        <f t="shared" si="4"/>
        <v>0</v>
      </c>
      <c r="F45" s="225">
        <v>3114956.2</v>
      </c>
      <c r="G45" s="117">
        <v>3114956.2</v>
      </c>
      <c r="H45" s="348">
        <f t="shared" si="7"/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348">
        <v>0</v>
      </c>
      <c r="O45" s="348">
        <v>0</v>
      </c>
      <c r="P45" s="348">
        <v>0</v>
      </c>
      <c r="Q45" s="348">
        <v>0</v>
      </c>
      <c r="R45" s="348">
        <v>0</v>
      </c>
      <c r="S45" s="348">
        <v>0</v>
      </c>
      <c r="T45" s="44">
        <v>0</v>
      </c>
      <c r="U45" s="348">
        <v>0</v>
      </c>
      <c r="V45" s="54" t="s">
        <v>997</v>
      </c>
      <c r="W45" s="348">
        <v>934.3</v>
      </c>
      <c r="X45" s="348">
        <f t="shared" si="8"/>
        <v>2974783.17</v>
      </c>
      <c r="Y45" s="348">
        <v>0</v>
      </c>
      <c r="Z45" s="348">
        <v>0</v>
      </c>
      <c r="AA45" s="348">
        <v>0</v>
      </c>
      <c r="AB45" s="348">
        <v>0</v>
      </c>
      <c r="AC45" s="348">
        <v>0</v>
      </c>
      <c r="AD45" s="348">
        <v>0</v>
      </c>
      <c r="AE45" s="348">
        <v>0</v>
      </c>
      <c r="AF45" s="348">
        <v>0</v>
      </c>
      <c r="AG45" s="348">
        <v>0</v>
      </c>
      <c r="AH45" s="348">
        <v>0</v>
      </c>
      <c r="AI45" s="348">
        <v>0</v>
      </c>
      <c r="AJ45" s="351">
        <f t="shared" si="9"/>
        <v>93448.69</v>
      </c>
      <c r="AK45" s="351">
        <f t="shared" si="10"/>
        <v>46724.34</v>
      </c>
      <c r="AL45" s="351">
        <v>0</v>
      </c>
      <c r="AM45" s="434">
        <f t="shared" si="5"/>
        <v>3334.0000000000005</v>
      </c>
      <c r="AN45" s="350">
        <v>4814.95</v>
      </c>
    </row>
    <row r="46" spans="1:40" s="19" customFormat="1" ht="9" hidden="1" customHeight="1">
      <c r="A46" s="349">
        <v>31</v>
      </c>
      <c r="B46" s="112" t="s">
        <v>502</v>
      </c>
      <c r="C46" s="117">
        <v>2990.3</v>
      </c>
      <c r="D46" s="54"/>
      <c r="E46" s="258">
        <f t="shared" si="4"/>
        <v>429041.10999999987</v>
      </c>
      <c r="F46" s="225">
        <v>3190638</v>
      </c>
      <c r="G46" s="117">
        <f t="shared" ref="G46:G61" si="12">ROUND(H46+U46+X46+Z46+AB46+AD46+AF46+AH46+AI46+AJ46+AK46+AL46,2)</f>
        <v>3619679.11</v>
      </c>
      <c r="H46" s="348">
        <f t="shared" si="7"/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348">
        <v>0</v>
      </c>
      <c r="O46" s="348">
        <v>0</v>
      </c>
      <c r="P46" s="348">
        <v>0</v>
      </c>
      <c r="Q46" s="348">
        <v>0</v>
      </c>
      <c r="R46" s="348">
        <v>0</v>
      </c>
      <c r="S46" s="348">
        <v>0</v>
      </c>
      <c r="T46" s="44">
        <v>0</v>
      </c>
      <c r="U46" s="348">
        <v>0</v>
      </c>
      <c r="V46" s="54" t="s">
        <v>997</v>
      </c>
      <c r="W46" s="348">
        <v>900</v>
      </c>
      <c r="X46" s="348">
        <v>3476579</v>
      </c>
      <c r="Y46" s="348">
        <v>0</v>
      </c>
      <c r="Z46" s="348">
        <v>0</v>
      </c>
      <c r="AA46" s="348">
        <v>0</v>
      </c>
      <c r="AB46" s="348">
        <v>0</v>
      </c>
      <c r="AC46" s="348">
        <v>0</v>
      </c>
      <c r="AD46" s="348">
        <v>0</v>
      </c>
      <c r="AE46" s="348">
        <v>0</v>
      </c>
      <c r="AF46" s="348">
        <v>0</v>
      </c>
      <c r="AG46" s="348">
        <v>0</v>
      </c>
      <c r="AH46" s="348">
        <v>0</v>
      </c>
      <c r="AI46" s="348">
        <v>0</v>
      </c>
      <c r="AJ46" s="351">
        <v>95240.54</v>
      </c>
      <c r="AK46" s="351">
        <v>47859.57</v>
      </c>
      <c r="AL46" s="351">
        <v>0</v>
      </c>
      <c r="AM46" s="434">
        <f t="shared" si="5"/>
        <v>4021.8656777777778</v>
      </c>
      <c r="AN46" s="350">
        <v>4814.95</v>
      </c>
    </row>
    <row r="47" spans="1:40" s="19" customFormat="1" ht="9" hidden="1" customHeight="1">
      <c r="A47" s="349">
        <v>32</v>
      </c>
      <c r="B47" s="112" t="s">
        <v>503</v>
      </c>
      <c r="C47" s="117">
        <v>3894.4</v>
      </c>
      <c r="D47" s="54"/>
      <c r="E47" s="258">
        <f t="shared" si="4"/>
        <v>216852.79999999981</v>
      </c>
      <c r="F47" s="225">
        <v>4000800</v>
      </c>
      <c r="G47" s="117">
        <f t="shared" si="12"/>
        <v>4217652.8</v>
      </c>
      <c r="H47" s="348">
        <f t="shared" si="7"/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348">
        <v>0</v>
      </c>
      <c r="O47" s="348">
        <v>0</v>
      </c>
      <c r="P47" s="348">
        <v>0</v>
      </c>
      <c r="Q47" s="348">
        <v>0</v>
      </c>
      <c r="R47" s="348">
        <v>0</v>
      </c>
      <c r="S47" s="348">
        <v>0</v>
      </c>
      <c r="T47" s="44">
        <v>0</v>
      </c>
      <c r="U47" s="348">
        <v>0</v>
      </c>
      <c r="V47" s="54" t="s">
        <v>997</v>
      </c>
      <c r="W47" s="348">
        <v>1200</v>
      </c>
      <c r="X47" s="348">
        <v>4038216.92</v>
      </c>
      <c r="Y47" s="348">
        <v>0</v>
      </c>
      <c r="Z47" s="348">
        <v>0</v>
      </c>
      <c r="AA47" s="348">
        <v>0</v>
      </c>
      <c r="AB47" s="348">
        <v>0</v>
      </c>
      <c r="AC47" s="348">
        <v>0</v>
      </c>
      <c r="AD47" s="348">
        <v>0</v>
      </c>
      <c r="AE47" s="348">
        <v>0</v>
      </c>
      <c r="AF47" s="348">
        <v>0</v>
      </c>
      <c r="AG47" s="348">
        <v>0</v>
      </c>
      <c r="AH47" s="348">
        <v>0</v>
      </c>
      <c r="AI47" s="348">
        <v>0</v>
      </c>
      <c r="AJ47" s="351">
        <v>119423.88</v>
      </c>
      <c r="AK47" s="351">
        <v>60012</v>
      </c>
      <c r="AL47" s="351">
        <v>0</v>
      </c>
      <c r="AM47" s="434">
        <f t="shared" si="5"/>
        <v>3514.7106666666664</v>
      </c>
      <c r="AN47" s="350">
        <v>4814.95</v>
      </c>
    </row>
    <row r="48" spans="1:40" s="19" customFormat="1" ht="9" hidden="1" customHeight="1">
      <c r="A48" s="349">
        <v>33</v>
      </c>
      <c r="B48" s="112" t="s">
        <v>504</v>
      </c>
      <c r="C48" s="117">
        <v>4613.5</v>
      </c>
      <c r="D48" s="54"/>
      <c r="E48" s="258">
        <f t="shared" ref="E48:E79" si="13">G48-F48</f>
        <v>-35737.290000000037</v>
      </c>
      <c r="F48" s="225">
        <v>6334600</v>
      </c>
      <c r="G48" s="117">
        <f t="shared" si="12"/>
        <v>6298862.71</v>
      </c>
      <c r="H48" s="348">
        <f t="shared" si="7"/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348">
        <v>0</v>
      </c>
      <c r="O48" s="348">
        <v>0</v>
      </c>
      <c r="P48" s="348">
        <v>0</v>
      </c>
      <c r="Q48" s="348">
        <v>0</v>
      </c>
      <c r="R48" s="348">
        <v>0</v>
      </c>
      <c r="S48" s="348">
        <v>0</v>
      </c>
      <c r="T48" s="44">
        <v>0</v>
      </c>
      <c r="U48" s="348">
        <v>0</v>
      </c>
      <c r="V48" s="54" t="s">
        <v>997</v>
      </c>
      <c r="W48" s="348">
        <v>1889.9</v>
      </c>
      <c r="X48" s="348">
        <v>6014755.9000000004</v>
      </c>
      <c r="Y48" s="348">
        <v>0</v>
      </c>
      <c r="Z48" s="348">
        <v>0</v>
      </c>
      <c r="AA48" s="348">
        <v>0</v>
      </c>
      <c r="AB48" s="348">
        <v>0</v>
      </c>
      <c r="AC48" s="348">
        <v>0</v>
      </c>
      <c r="AD48" s="348">
        <v>0</v>
      </c>
      <c r="AE48" s="348">
        <v>0</v>
      </c>
      <c r="AF48" s="348">
        <v>0</v>
      </c>
      <c r="AG48" s="348">
        <v>0</v>
      </c>
      <c r="AH48" s="348">
        <v>0</v>
      </c>
      <c r="AI48" s="348">
        <v>0</v>
      </c>
      <c r="AJ48" s="351">
        <v>189087.81</v>
      </c>
      <c r="AK48" s="351">
        <v>95019</v>
      </c>
      <c r="AL48" s="351">
        <v>0</v>
      </c>
      <c r="AM48" s="434">
        <f t="shared" si="5"/>
        <v>3332.9079369278797</v>
      </c>
      <c r="AN48" s="350">
        <v>4814.95</v>
      </c>
    </row>
    <row r="49" spans="1:40" s="19" customFormat="1" ht="9" hidden="1" customHeight="1">
      <c r="A49" s="349">
        <v>34</v>
      </c>
      <c r="B49" s="112" t="s">
        <v>505</v>
      </c>
      <c r="C49" s="117">
        <v>1116.4000000000001</v>
      </c>
      <c r="D49" s="54"/>
      <c r="E49" s="258">
        <f t="shared" si="13"/>
        <v>-93072.649999999907</v>
      </c>
      <c r="F49" s="225">
        <v>1833700</v>
      </c>
      <c r="G49" s="117">
        <f t="shared" si="12"/>
        <v>1740627.35</v>
      </c>
      <c r="H49" s="348">
        <f t="shared" si="7"/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348">
        <v>0</v>
      </c>
      <c r="O49" s="348">
        <v>0</v>
      </c>
      <c r="P49" s="348">
        <v>0</v>
      </c>
      <c r="Q49" s="348">
        <v>0</v>
      </c>
      <c r="R49" s="348">
        <v>0</v>
      </c>
      <c r="S49" s="348">
        <v>0</v>
      </c>
      <c r="T49" s="44">
        <v>0</v>
      </c>
      <c r="U49" s="348">
        <v>0</v>
      </c>
      <c r="V49" s="54" t="s">
        <v>997</v>
      </c>
      <c r="W49" s="348">
        <v>545</v>
      </c>
      <c r="X49" s="348">
        <v>1658385.9</v>
      </c>
      <c r="Y49" s="348">
        <v>0</v>
      </c>
      <c r="Z49" s="348">
        <v>0</v>
      </c>
      <c r="AA49" s="348">
        <v>0</v>
      </c>
      <c r="AB49" s="348">
        <v>0</v>
      </c>
      <c r="AC49" s="348">
        <v>0</v>
      </c>
      <c r="AD49" s="348">
        <v>0</v>
      </c>
      <c r="AE49" s="348">
        <v>0</v>
      </c>
      <c r="AF49" s="348">
        <v>0</v>
      </c>
      <c r="AG49" s="348">
        <v>0</v>
      </c>
      <c r="AH49" s="348">
        <v>0</v>
      </c>
      <c r="AI49" s="348">
        <v>0</v>
      </c>
      <c r="AJ49" s="351">
        <v>54735.95</v>
      </c>
      <c r="AK49" s="351">
        <v>27505.5</v>
      </c>
      <c r="AL49" s="351">
        <v>0</v>
      </c>
      <c r="AM49" s="434">
        <f t="shared" si="5"/>
        <v>3193.811651376147</v>
      </c>
      <c r="AN49" s="350">
        <v>4814.95</v>
      </c>
    </row>
    <row r="50" spans="1:40" s="19" customFormat="1" ht="9" hidden="1" customHeight="1">
      <c r="A50" s="349">
        <v>35</v>
      </c>
      <c r="B50" s="112" t="s">
        <v>507</v>
      </c>
      <c r="C50" s="117">
        <v>2676.7</v>
      </c>
      <c r="D50" s="54"/>
      <c r="E50" s="258">
        <f t="shared" si="13"/>
        <v>122798.87999999989</v>
      </c>
      <c r="F50" s="225">
        <v>3390678</v>
      </c>
      <c r="G50" s="117">
        <f t="shared" si="12"/>
        <v>3513476.88</v>
      </c>
      <c r="H50" s="348">
        <f t="shared" si="7"/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348">
        <v>0</v>
      </c>
      <c r="O50" s="348">
        <v>0</v>
      </c>
      <c r="P50" s="348">
        <v>0</v>
      </c>
      <c r="Q50" s="348">
        <v>0</v>
      </c>
      <c r="R50" s="348">
        <v>0</v>
      </c>
      <c r="S50" s="348">
        <v>0</v>
      </c>
      <c r="T50" s="44">
        <v>0</v>
      </c>
      <c r="U50" s="348">
        <v>0</v>
      </c>
      <c r="V50" s="54" t="s">
        <v>997</v>
      </c>
      <c r="W50" s="348">
        <v>1003.3</v>
      </c>
      <c r="X50" s="348">
        <v>3361404.97</v>
      </c>
      <c r="Y50" s="348">
        <v>0</v>
      </c>
      <c r="Z50" s="348">
        <v>0</v>
      </c>
      <c r="AA50" s="348">
        <v>0</v>
      </c>
      <c r="AB50" s="348">
        <v>0</v>
      </c>
      <c r="AC50" s="348">
        <v>0</v>
      </c>
      <c r="AD50" s="348">
        <v>0</v>
      </c>
      <c r="AE50" s="348">
        <v>0</v>
      </c>
      <c r="AF50" s="348">
        <v>0</v>
      </c>
      <c r="AG50" s="348">
        <v>0</v>
      </c>
      <c r="AH50" s="348">
        <v>0</v>
      </c>
      <c r="AI50" s="348">
        <v>0</v>
      </c>
      <c r="AJ50" s="351">
        <v>101211.74</v>
      </c>
      <c r="AK50" s="351">
        <v>50860.17</v>
      </c>
      <c r="AL50" s="351">
        <v>0</v>
      </c>
      <c r="AM50" s="434">
        <f t="shared" si="5"/>
        <v>3501.9205422107048</v>
      </c>
      <c r="AN50" s="350">
        <v>4814.95</v>
      </c>
    </row>
    <row r="51" spans="1:40" s="19" customFormat="1" ht="9" hidden="1" customHeight="1">
      <c r="A51" s="349">
        <v>36</v>
      </c>
      <c r="B51" s="112" t="s">
        <v>508</v>
      </c>
      <c r="C51" s="117">
        <v>1421.4</v>
      </c>
      <c r="D51" s="113"/>
      <c r="E51" s="258">
        <f t="shared" si="13"/>
        <v>96216.560000000056</v>
      </c>
      <c r="F51" s="258">
        <v>3790248</v>
      </c>
      <c r="G51" s="117">
        <f t="shared" si="12"/>
        <v>3886464.56</v>
      </c>
      <c r="H51" s="348">
        <f t="shared" si="7"/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348">
        <v>0</v>
      </c>
      <c r="O51" s="348">
        <v>0</v>
      </c>
      <c r="P51" s="348">
        <v>0</v>
      </c>
      <c r="Q51" s="348">
        <v>0</v>
      </c>
      <c r="R51" s="348">
        <v>0</v>
      </c>
      <c r="S51" s="348">
        <v>0</v>
      </c>
      <c r="T51" s="44">
        <v>0</v>
      </c>
      <c r="U51" s="348">
        <v>0</v>
      </c>
      <c r="V51" s="113" t="s">
        <v>998</v>
      </c>
      <c r="W51" s="348">
        <v>1172</v>
      </c>
      <c r="X51" s="348">
        <v>3716471.94</v>
      </c>
      <c r="Y51" s="348">
        <v>0</v>
      </c>
      <c r="Z51" s="348">
        <v>0</v>
      </c>
      <c r="AA51" s="348">
        <v>0</v>
      </c>
      <c r="AB51" s="348">
        <v>0</v>
      </c>
      <c r="AC51" s="348">
        <v>0</v>
      </c>
      <c r="AD51" s="348">
        <v>0</v>
      </c>
      <c r="AE51" s="348">
        <v>0</v>
      </c>
      <c r="AF51" s="348">
        <v>0</v>
      </c>
      <c r="AG51" s="348">
        <v>0</v>
      </c>
      <c r="AH51" s="348">
        <v>0</v>
      </c>
      <c r="AI51" s="348">
        <v>0</v>
      </c>
      <c r="AJ51" s="351">
        <v>113138.9</v>
      </c>
      <c r="AK51" s="351">
        <v>56853.72</v>
      </c>
      <c r="AL51" s="351">
        <v>0</v>
      </c>
      <c r="AM51" s="434">
        <f t="shared" si="5"/>
        <v>3316.0960409556315</v>
      </c>
      <c r="AN51" s="350">
        <v>4621.88</v>
      </c>
    </row>
    <row r="52" spans="1:40" s="19" customFormat="1" ht="9" hidden="1" customHeight="1">
      <c r="A52" s="349">
        <v>37</v>
      </c>
      <c r="B52" s="112" t="s">
        <v>509</v>
      </c>
      <c r="C52" s="117">
        <v>1549.7</v>
      </c>
      <c r="D52" s="113"/>
      <c r="E52" s="258">
        <f t="shared" si="13"/>
        <v>412179.04999999981</v>
      </c>
      <c r="F52" s="258">
        <v>1875720</v>
      </c>
      <c r="G52" s="117">
        <f t="shared" si="12"/>
        <v>2287899.0499999998</v>
      </c>
      <c r="H52" s="348">
        <f t="shared" si="7"/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348">
        <v>0</v>
      </c>
      <c r="O52" s="348">
        <v>0</v>
      </c>
      <c r="P52" s="348">
        <v>0</v>
      </c>
      <c r="Q52" s="348">
        <v>0</v>
      </c>
      <c r="R52" s="348">
        <v>0</v>
      </c>
      <c r="S52" s="348">
        <v>0</v>
      </c>
      <c r="T52" s="44">
        <v>0</v>
      </c>
      <c r="U52" s="348">
        <v>0</v>
      </c>
      <c r="V52" s="113" t="s">
        <v>998</v>
      </c>
      <c r="W52" s="348">
        <v>660</v>
      </c>
      <c r="X52" s="348">
        <v>2203773</v>
      </c>
      <c r="Y52" s="348">
        <v>0</v>
      </c>
      <c r="Z52" s="348">
        <v>0</v>
      </c>
      <c r="AA52" s="348">
        <v>0</v>
      </c>
      <c r="AB52" s="348">
        <v>0</v>
      </c>
      <c r="AC52" s="348">
        <v>0</v>
      </c>
      <c r="AD52" s="348">
        <v>0</v>
      </c>
      <c r="AE52" s="348">
        <v>0</v>
      </c>
      <c r="AF52" s="348">
        <v>0</v>
      </c>
      <c r="AG52" s="348">
        <v>0</v>
      </c>
      <c r="AH52" s="348">
        <v>0</v>
      </c>
      <c r="AI52" s="348">
        <v>0</v>
      </c>
      <c r="AJ52" s="351">
        <v>55990.25</v>
      </c>
      <c r="AK52" s="351">
        <v>28135.8</v>
      </c>
      <c r="AL52" s="351">
        <v>0</v>
      </c>
      <c r="AM52" s="434">
        <f t="shared" si="5"/>
        <v>3466.5137121212119</v>
      </c>
      <c r="AN52" s="350">
        <v>4621.88</v>
      </c>
    </row>
    <row r="53" spans="1:40" s="19" customFormat="1" ht="9" hidden="1" customHeight="1">
      <c r="A53" s="349">
        <v>38</v>
      </c>
      <c r="B53" s="112" t="s">
        <v>510</v>
      </c>
      <c r="C53" s="117">
        <v>1764.7</v>
      </c>
      <c r="D53" s="113"/>
      <c r="E53" s="258">
        <f t="shared" si="13"/>
        <v>-4605</v>
      </c>
      <c r="F53" s="258">
        <v>3557400</v>
      </c>
      <c r="G53" s="117">
        <f t="shared" si="12"/>
        <v>3552795</v>
      </c>
      <c r="H53" s="348">
        <f t="shared" si="7"/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348">
        <v>0</v>
      </c>
      <c r="O53" s="348">
        <v>0</v>
      </c>
      <c r="P53" s="348">
        <v>0</v>
      </c>
      <c r="Q53" s="348">
        <v>0</v>
      </c>
      <c r="R53" s="348">
        <v>0</v>
      </c>
      <c r="S53" s="348">
        <v>0</v>
      </c>
      <c r="T53" s="44">
        <v>0</v>
      </c>
      <c r="U53" s="348">
        <v>0</v>
      </c>
      <c r="V53" s="113" t="s">
        <v>998</v>
      </c>
      <c r="W53" s="348">
        <v>1070.8</v>
      </c>
      <c r="X53" s="348">
        <v>3392712</v>
      </c>
      <c r="Y53" s="348">
        <v>0</v>
      </c>
      <c r="Z53" s="348">
        <v>0</v>
      </c>
      <c r="AA53" s="348">
        <v>0</v>
      </c>
      <c r="AB53" s="348">
        <v>0</v>
      </c>
      <c r="AC53" s="348">
        <v>0</v>
      </c>
      <c r="AD53" s="348">
        <v>0</v>
      </c>
      <c r="AE53" s="348">
        <v>0</v>
      </c>
      <c r="AF53" s="348">
        <v>0</v>
      </c>
      <c r="AG53" s="348">
        <v>0</v>
      </c>
      <c r="AH53" s="348">
        <v>0</v>
      </c>
      <c r="AI53" s="348">
        <v>0</v>
      </c>
      <c r="AJ53" s="351">
        <v>106722</v>
      </c>
      <c r="AK53" s="351">
        <v>53361</v>
      </c>
      <c r="AL53" s="351">
        <v>0</v>
      </c>
      <c r="AM53" s="434">
        <f t="shared" si="5"/>
        <v>3317.8884945834893</v>
      </c>
      <c r="AN53" s="350">
        <v>4621.88</v>
      </c>
    </row>
    <row r="54" spans="1:40" s="19" customFormat="1" ht="9" hidden="1" customHeight="1">
      <c r="A54" s="349">
        <v>39</v>
      </c>
      <c r="B54" s="112" t="s">
        <v>511</v>
      </c>
      <c r="C54" s="117">
        <v>3164.4</v>
      </c>
      <c r="D54" s="54"/>
      <c r="E54" s="258">
        <f t="shared" si="13"/>
        <v>339680.04999999981</v>
      </c>
      <c r="F54" s="225">
        <v>2783890</v>
      </c>
      <c r="G54" s="117">
        <f t="shared" si="12"/>
        <v>3123570.05</v>
      </c>
      <c r="H54" s="348">
        <f t="shared" si="7"/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348">
        <v>0</v>
      </c>
      <c r="O54" s="348">
        <v>0</v>
      </c>
      <c r="P54" s="348">
        <v>0</v>
      </c>
      <c r="Q54" s="348">
        <v>0</v>
      </c>
      <c r="R54" s="348">
        <v>0</v>
      </c>
      <c r="S54" s="348">
        <v>0</v>
      </c>
      <c r="T54" s="44">
        <v>0</v>
      </c>
      <c r="U54" s="348">
        <v>0</v>
      </c>
      <c r="V54" s="54" t="s">
        <v>997</v>
      </c>
      <c r="W54" s="348">
        <v>897</v>
      </c>
      <c r="X54" s="348">
        <v>2998295</v>
      </c>
      <c r="Y54" s="348">
        <v>0</v>
      </c>
      <c r="Z54" s="348">
        <v>0</v>
      </c>
      <c r="AA54" s="348">
        <v>0</v>
      </c>
      <c r="AB54" s="348">
        <v>0</v>
      </c>
      <c r="AC54" s="348">
        <v>0</v>
      </c>
      <c r="AD54" s="348">
        <v>0</v>
      </c>
      <c r="AE54" s="348">
        <v>0</v>
      </c>
      <c r="AF54" s="348">
        <v>0</v>
      </c>
      <c r="AG54" s="348">
        <v>0</v>
      </c>
      <c r="AH54" s="348">
        <v>0</v>
      </c>
      <c r="AI54" s="348">
        <v>0</v>
      </c>
      <c r="AJ54" s="351">
        <v>83516.7</v>
      </c>
      <c r="AK54" s="351">
        <v>41758.35</v>
      </c>
      <c r="AL54" s="351">
        <v>0</v>
      </c>
      <c r="AM54" s="434">
        <f t="shared" si="5"/>
        <v>3482.2408584169452</v>
      </c>
      <c r="AN54" s="350">
        <v>4814.95</v>
      </c>
    </row>
    <row r="55" spans="1:40" s="19" customFormat="1" ht="9" hidden="1" customHeight="1">
      <c r="A55" s="349">
        <v>40</v>
      </c>
      <c r="B55" s="112" t="s">
        <v>512</v>
      </c>
      <c r="C55" s="117">
        <v>2106.4</v>
      </c>
      <c r="D55" s="54"/>
      <c r="E55" s="258">
        <f t="shared" si="13"/>
        <v>181930.5</v>
      </c>
      <c r="F55" s="225">
        <v>2167100</v>
      </c>
      <c r="G55" s="117">
        <f t="shared" si="12"/>
        <v>2349030.5</v>
      </c>
      <c r="H55" s="348">
        <f t="shared" si="7"/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348">
        <v>0</v>
      </c>
      <c r="O55" s="348">
        <v>0</v>
      </c>
      <c r="P55" s="348">
        <v>0</v>
      </c>
      <c r="Q55" s="348">
        <v>0</v>
      </c>
      <c r="R55" s="348">
        <v>0</v>
      </c>
      <c r="S55" s="348">
        <v>0</v>
      </c>
      <c r="T55" s="44">
        <v>0</v>
      </c>
      <c r="U55" s="348">
        <v>0</v>
      </c>
      <c r="V55" s="54" t="s">
        <v>997</v>
      </c>
      <c r="W55" s="348">
        <v>657.23</v>
      </c>
      <c r="X55" s="348">
        <v>2251511</v>
      </c>
      <c r="Y55" s="348">
        <v>0</v>
      </c>
      <c r="Z55" s="348">
        <v>0</v>
      </c>
      <c r="AA55" s="348">
        <v>0</v>
      </c>
      <c r="AB55" s="348">
        <v>0</v>
      </c>
      <c r="AC55" s="348">
        <v>0</v>
      </c>
      <c r="AD55" s="348">
        <v>0</v>
      </c>
      <c r="AE55" s="348">
        <v>0</v>
      </c>
      <c r="AF55" s="348">
        <v>0</v>
      </c>
      <c r="AG55" s="348">
        <v>0</v>
      </c>
      <c r="AH55" s="348">
        <v>0</v>
      </c>
      <c r="AI55" s="348">
        <v>0</v>
      </c>
      <c r="AJ55" s="351">
        <v>65013</v>
      </c>
      <c r="AK55" s="351">
        <v>32506.5</v>
      </c>
      <c r="AL55" s="351">
        <v>0</v>
      </c>
      <c r="AM55" s="434">
        <f t="shared" si="5"/>
        <v>3574.1376687004549</v>
      </c>
      <c r="AN55" s="350">
        <v>4814.95</v>
      </c>
    </row>
    <row r="56" spans="1:40" s="19" customFormat="1" ht="9" hidden="1" customHeight="1">
      <c r="A56" s="349">
        <v>41</v>
      </c>
      <c r="B56" s="112" t="s">
        <v>513</v>
      </c>
      <c r="C56" s="117">
        <v>4985</v>
      </c>
      <c r="D56" s="54"/>
      <c r="E56" s="258">
        <f t="shared" si="13"/>
        <v>-909397.58999999985</v>
      </c>
      <c r="F56" s="225">
        <v>3167300</v>
      </c>
      <c r="G56" s="117">
        <f t="shared" si="12"/>
        <v>2257902.41</v>
      </c>
      <c r="H56" s="348">
        <f t="shared" si="7"/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348">
        <v>0</v>
      </c>
      <c r="O56" s="348">
        <v>0</v>
      </c>
      <c r="P56" s="348">
        <v>0</v>
      </c>
      <c r="Q56" s="348">
        <v>0</v>
      </c>
      <c r="R56" s="348">
        <v>0</v>
      </c>
      <c r="S56" s="348">
        <v>0</v>
      </c>
      <c r="T56" s="44">
        <v>0</v>
      </c>
      <c r="U56" s="348">
        <v>0</v>
      </c>
      <c r="V56" s="54" t="s">
        <v>997</v>
      </c>
      <c r="W56" s="348">
        <v>852</v>
      </c>
      <c r="X56" s="348">
        <v>2115849</v>
      </c>
      <c r="Y56" s="348">
        <v>0</v>
      </c>
      <c r="Z56" s="348">
        <v>0</v>
      </c>
      <c r="AA56" s="348">
        <v>0</v>
      </c>
      <c r="AB56" s="348">
        <v>0</v>
      </c>
      <c r="AC56" s="348">
        <v>0</v>
      </c>
      <c r="AD56" s="348">
        <v>0</v>
      </c>
      <c r="AE56" s="348">
        <v>0</v>
      </c>
      <c r="AF56" s="348">
        <v>0</v>
      </c>
      <c r="AG56" s="348">
        <v>0</v>
      </c>
      <c r="AH56" s="348">
        <v>0</v>
      </c>
      <c r="AI56" s="348">
        <v>0</v>
      </c>
      <c r="AJ56" s="351">
        <v>94543.91</v>
      </c>
      <c r="AK56" s="351">
        <v>47509.5</v>
      </c>
      <c r="AL56" s="351">
        <v>0</v>
      </c>
      <c r="AM56" s="434">
        <f t="shared" si="5"/>
        <v>2650.1201995305164</v>
      </c>
      <c r="AN56" s="350">
        <v>4814.95</v>
      </c>
    </row>
    <row r="57" spans="1:40" s="19" customFormat="1" ht="9" hidden="1" customHeight="1">
      <c r="A57" s="349">
        <v>42</v>
      </c>
      <c r="B57" s="112" t="s">
        <v>514</v>
      </c>
      <c r="C57" s="117">
        <v>4964.5</v>
      </c>
      <c r="D57" s="54"/>
      <c r="E57" s="258">
        <f t="shared" si="13"/>
        <v>-941242.29999999981</v>
      </c>
      <c r="F57" s="225">
        <v>3200640</v>
      </c>
      <c r="G57" s="117">
        <f t="shared" si="12"/>
        <v>2259397.7000000002</v>
      </c>
      <c r="H57" s="348">
        <f t="shared" si="7"/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348">
        <v>0</v>
      </c>
      <c r="O57" s="348">
        <v>0</v>
      </c>
      <c r="P57" s="348">
        <v>0</v>
      </c>
      <c r="Q57" s="348">
        <v>0</v>
      </c>
      <c r="R57" s="348">
        <v>0</v>
      </c>
      <c r="S57" s="348">
        <v>0</v>
      </c>
      <c r="T57" s="44">
        <v>0</v>
      </c>
      <c r="U57" s="348">
        <v>0</v>
      </c>
      <c r="V57" s="54" t="s">
        <v>997</v>
      </c>
      <c r="W57" s="348">
        <v>852</v>
      </c>
      <c r="X57" s="348">
        <v>2115849</v>
      </c>
      <c r="Y57" s="348">
        <v>0</v>
      </c>
      <c r="Z57" s="348">
        <v>0</v>
      </c>
      <c r="AA57" s="348">
        <v>0</v>
      </c>
      <c r="AB57" s="348">
        <v>0</v>
      </c>
      <c r="AC57" s="348">
        <v>0</v>
      </c>
      <c r="AD57" s="348">
        <v>0</v>
      </c>
      <c r="AE57" s="348">
        <v>0</v>
      </c>
      <c r="AF57" s="348">
        <v>0</v>
      </c>
      <c r="AG57" s="348">
        <v>0</v>
      </c>
      <c r="AH57" s="348">
        <v>0</v>
      </c>
      <c r="AI57" s="348">
        <v>0</v>
      </c>
      <c r="AJ57" s="351">
        <v>95539.1</v>
      </c>
      <c r="AK57" s="351">
        <v>48009.599999999999</v>
      </c>
      <c r="AL57" s="351">
        <v>0</v>
      </c>
      <c r="AM57" s="434">
        <f t="shared" si="5"/>
        <v>2651.8752347417844</v>
      </c>
      <c r="AN57" s="350">
        <v>4814.95</v>
      </c>
    </row>
    <row r="58" spans="1:40" s="19" customFormat="1" ht="9" hidden="1" customHeight="1">
      <c r="A58" s="349">
        <v>43</v>
      </c>
      <c r="B58" s="112" t="s">
        <v>515</v>
      </c>
      <c r="C58" s="117">
        <v>581.4</v>
      </c>
      <c r="D58" s="54"/>
      <c r="E58" s="258">
        <f t="shared" si="13"/>
        <v>-306382.26999999979</v>
      </c>
      <c r="F58" s="225">
        <v>2296125.7999999998</v>
      </c>
      <c r="G58" s="117">
        <f t="shared" si="12"/>
        <v>1989743.53</v>
      </c>
      <c r="H58" s="348">
        <f t="shared" si="7"/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348">
        <v>0</v>
      </c>
      <c r="O58" s="348">
        <v>0</v>
      </c>
      <c r="P58" s="348">
        <v>0</v>
      </c>
      <c r="Q58" s="348">
        <v>0</v>
      </c>
      <c r="R58" s="348">
        <v>0</v>
      </c>
      <c r="S58" s="348">
        <v>0</v>
      </c>
      <c r="T58" s="44">
        <v>0</v>
      </c>
      <c r="U58" s="348">
        <v>0</v>
      </c>
      <c r="V58" s="54" t="s">
        <v>997</v>
      </c>
      <c r="W58" s="348">
        <v>600</v>
      </c>
      <c r="X58" s="348">
        <v>1912938.12</v>
      </c>
      <c r="Y58" s="348">
        <v>0</v>
      </c>
      <c r="Z58" s="348">
        <v>0</v>
      </c>
      <c r="AA58" s="348">
        <v>0</v>
      </c>
      <c r="AB58" s="348">
        <v>0</v>
      </c>
      <c r="AC58" s="348">
        <v>0</v>
      </c>
      <c r="AD58" s="348">
        <v>0</v>
      </c>
      <c r="AE58" s="348">
        <v>0</v>
      </c>
      <c r="AF58" s="348">
        <v>0</v>
      </c>
      <c r="AG58" s="348">
        <v>0</v>
      </c>
      <c r="AH58" s="348">
        <v>0</v>
      </c>
      <c r="AI58" s="348">
        <v>0</v>
      </c>
      <c r="AJ58" s="351">
        <v>42363.519999999997</v>
      </c>
      <c r="AK58" s="351">
        <v>34441.89</v>
      </c>
      <c r="AL58" s="351">
        <v>0</v>
      </c>
      <c r="AM58" s="434">
        <f t="shared" si="5"/>
        <v>3316.2392166666668</v>
      </c>
      <c r="AN58" s="350">
        <v>4814.95</v>
      </c>
    </row>
    <row r="59" spans="1:40" s="19" customFormat="1" ht="9" hidden="1" customHeight="1">
      <c r="A59" s="349">
        <v>44</v>
      </c>
      <c r="B59" s="112" t="s">
        <v>516</v>
      </c>
      <c r="C59" s="117">
        <v>2806</v>
      </c>
      <c r="D59" s="54"/>
      <c r="E59" s="258">
        <f t="shared" si="13"/>
        <v>-570442.58000000007</v>
      </c>
      <c r="F59" s="225">
        <v>3200640</v>
      </c>
      <c r="G59" s="117">
        <f t="shared" si="12"/>
        <v>2630197.42</v>
      </c>
      <c r="H59" s="348">
        <f t="shared" si="7"/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348">
        <v>0</v>
      </c>
      <c r="O59" s="348">
        <v>0</v>
      </c>
      <c r="P59" s="348">
        <v>0</v>
      </c>
      <c r="Q59" s="348">
        <v>0</v>
      </c>
      <c r="R59" s="348">
        <v>0</v>
      </c>
      <c r="S59" s="348">
        <v>0</v>
      </c>
      <c r="T59" s="44">
        <v>0</v>
      </c>
      <c r="U59" s="348">
        <v>0</v>
      </c>
      <c r="V59" s="54" t="s">
        <v>997</v>
      </c>
      <c r="W59" s="348">
        <v>795</v>
      </c>
      <c r="X59" s="348">
        <v>2513054</v>
      </c>
      <c r="Y59" s="348">
        <v>0</v>
      </c>
      <c r="Z59" s="348">
        <v>0</v>
      </c>
      <c r="AA59" s="348">
        <v>0</v>
      </c>
      <c r="AB59" s="348">
        <v>0</v>
      </c>
      <c r="AC59" s="348">
        <v>0</v>
      </c>
      <c r="AD59" s="348">
        <v>0</v>
      </c>
      <c r="AE59" s="348">
        <v>0</v>
      </c>
      <c r="AF59" s="348">
        <v>0</v>
      </c>
      <c r="AG59" s="348">
        <v>0</v>
      </c>
      <c r="AH59" s="348">
        <v>0</v>
      </c>
      <c r="AI59" s="348">
        <v>0</v>
      </c>
      <c r="AJ59" s="351">
        <v>69133.820000000007</v>
      </c>
      <c r="AK59" s="351">
        <v>48009.599999999999</v>
      </c>
      <c r="AL59" s="351">
        <v>0</v>
      </c>
      <c r="AM59" s="434">
        <f t="shared" si="5"/>
        <v>3308.424427672956</v>
      </c>
      <c r="AN59" s="350">
        <v>4814.95</v>
      </c>
    </row>
    <row r="60" spans="1:40" s="19" customFormat="1" ht="9" hidden="1" customHeight="1">
      <c r="A60" s="349">
        <v>45</v>
      </c>
      <c r="B60" s="112" t="s">
        <v>517</v>
      </c>
      <c r="C60" s="117">
        <v>8152.1</v>
      </c>
      <c r="D60" s="54"/>
      <c r="E60" s="258">
        <f t="shared" si="13"/>
        <v>-7578240.7199999997</v>
      </c>
      <c r="F60" s="225">
        <v>12002400</v>
      </c>
      <c r="G60" s="117">
        <f t="shared" si="12"/>
        <v>4424159.28</v>
      </c>
      <c r="H60" s="348">
        <f t="shared" si="7"/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348">
        <v>0</v>
      </c>
      <c r="O60" s="348">
        <v>0</v>
      </c>
      <c r="P60" s="348">
        <v>0</v>
      </c>
      <c r="Q60" s="348">
        <v>0</v>
      </c>
      <c r="R60" s="348">
        <v>0</v>
      </c>
      <c r="S60" s="348">
        <v>0</v>
      </c>
      <c r="T60" s="44">
        <v>0</v>
      </c>
      <c r="U60" s="348">
        <v>0</v>
      </c>
      <c r="V60" s="54" t="s">
        <v>997</v>
      </c>
      <c r="W60" s="348">
        <v>1313</v>
      </c>
      <c r="X60" s="348">
        <v>4022679</v>
      </c>
      <c r="Y60" s="348">
        <v>0</v>
      </c>
      <c r="Z60" s="348">
        <v>0</v>
      </c>
      <c r="AA60" s="348">
        <v>0</v>
      </c>
      <c r="AB60" s="348">
        <v>0</v>
      </c>
      <c r="AC60" s="348">
        <v>0</v>
      </c>
      <c r="AD60" s="348">
        <v>0</v>
      </c>
      <c r="AE60" s="348">
        <v>0</v>
      </c>
      <c r="AF60" s="348">
        <v>0</v>
      </c>
      <c r="AG60" s="348">
        <v>0</v>
      </c>
      <c r="AH60" s="348">
        <v>0</v>
      </c>
      <c r="AI60" s="348">
        <v>0</v>
      </c>
      <c r="AJ60" s="351">
        <v>221444.28</v>
      </c>
      <c r="AK60" s="351">
        <v>180036</v>
      </c>
      <c r="AL60" s="351">
        <v>0</v>
      </c>
      <c r="AM60" s="434">
        <f t="shared" si="5"/>
        <v>3369.5044021325211</v>
      </c>
      <c r="AN60" s="350">
        <v>4814.95</v>
      </c>
    </row>
    <row r="61" spans="1:40" s="19" customFormat="1" ht="9" hidden="1" customHeight="1">
      <c r="A61" s="349">
        <v>46</v>
      </c>
      <c r="B61" s="112" t="s">
        <v>518</v>
      </c>
      <c r="C61" s="117">
        <v>3508.6</v>
      </c>
      <c r="D61" s="54"/>
      <c r="E61" s="258">
        <f t="shared" si="13"/>
        <v>665185.99000000022</v>
      </c>
      <c r="F61" s="225">
        <v>2920584</v>
      </c>
      <c r="G61" s="117">
        <f t="shared" si="12"/>
        <v>3585769.99</v>
      </c>
      <c r="H61" s="348">
        <f t="shared" si="7"/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348">
        <v>0</v>
      </c>
      <c r="O61" s="348">
        <v>0</v>
      </c>
      <c r="P61" s="348">
        <v>0</v>
      </c>
      <c r="Q61" s="348">
        <v>0</v>
      </c>
      <c r="R61" s="348">
        <v>0</v>
      </c>
      <c r="S61" s="348">
        <v>0</v>
      </c>
      <c r="T61" s="44">
        <v>0</v>
      </c>
      <c r="U61" s="348">
        <v>0</v>
      </c>
      <c r="V61" s="54" t="s">
        <v>997</v>
      </c>
      <c r="W61" s="348">
        <v>983</v>
      </c>
      <c r="X61" s="348">
        <v>3488076.46</v>
      </c>
      <c r="Y61" s="348">
        <v>0</v>
      </c>
      <c r="Z61" s="348">
        <v>0</v>
      </c>
      <c r="AA61" s="348">
        <v>0</v>
      </c>
      <c r="AB61" s="348">
        <v>0</v>
      </c>
      <c r="AC61" s="348">
        <v>0</v>
      </c>
      <c r="AD61" s="348">
        <v>0</v>
      </c>
      <c r="AE61" s="348">
        <v>0</v>
      </c>
      <c r="AF61" s="348">
        <v>0</v>
      </c>
      <c r="AG61" s="348">
        <v>0</v>
      </c>
      <c r="AH61" s="348">
        <v>0</v>
      </c>
      <c r="AI61" s="348">
        <v>0</v>
      </c>
      <c r="AJ61" s="351">
        <v>53884.77</v>
      </c>
      <c r="AK61" s="351">
        <v>43808.76</v>
      </c>
      <c r="AL61" s="351">
        <v>0</v>
      </c>
      <c r="AM61" s="434">
        <f t="shared" si="5"/>
        <v>3647.7822889114955</v>
      </c>
      <c r="AN61" s="350">
        <v>4814.95</v>
      </c>
    </row>
    <row r="62" spans="1:40" s="19" customFormat="1" ht="9" hidden="1" customHeight="1">
      <c r="A62" s="349">
        <v>47</v>
      </c>
      <c r="B62" s="112" t="s">
        <v>519</v>
      </c>
      <c r="C62" s="117">
        <v>3100.9</v>
      </c>
      <c r="D62" s="113"/>
      <c r="E62" s="258">
        <f t="shared" si="13"/>
        <v>0</v>
      </c>
      <c r="F62" s="258">
        <v>2375289.4</v>
      </c>
      <c r="G62" s="117">
        <f>O62+Q62+S62+AI62+AJ62+AK62</f>
        <v>2375289.4</v>
      </c>
      <c r="H62" s="348">
        <f>I62+K62+M62+O62+Q62+S62</f>
        <v>2072951.65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348">
        <v>0</v>
      </c>
      <c r="O62" s="348">
        <f>ROUND(0.955*(C62*210),2)</f>
        <v>621885.5</v>
      </c>
      <c r="P62" s="348">
        <v>0</v>
      </c>
      <c r="Q62" s="348">
        <f>ROUND(0.955*(C62*270)-0.01,2)</f>
        <v>799567.06</v>
      </c>
      <c r="R62" s="348">
        <v>0</v>
      </c>
      <c r="S62" s="348">
        <f>ROUND(0.955*(C62*220),2)</f>
        <v>651499.09</v>
      </c>
      <c r="T62" s="44">
        <v>0</v>
      </c>
      <c r="U62" s="348">
        <v>0</v>
      </c>
      <c r="V62" s="113"/>
      <c r="W62" s="348">
        <v>0</v>
      </c>
      <c r="X62" s="348">
        <v>0</v>
      </c>
      <c r="Y62" s="348">
        <v>0</v>
      </c>
      <c r="Z62" s="348">
        <v>0</v>
      </c>
      <c r="AA62" s="348">
        <v>0</v>
      </c>
      <c r="AB62" s="348">
        <v>0</v>
      </c>
      <c r="AC62" s="348">
        <v>0</v>
      </c>
      <c r="AD62" s="348">
        <v>0</v>
      </c>
      <c r="AE62" s="348">
        <v>0</v>
      </c>
      <c r="AF62" s="348">
        <v>0</v>
      </c>
      <c r="AG62" s="348">
        <v>0</v>
      </c>
      <c r="AH62" s="348">
        <v>0</v>
      </c>
      <c r="AI62" s="351">
        <f>ROUND(0.955*C62*(44+22),2)</f>
        <v>195449.73</v>
      </c>
      <c r="AJ62" s="351">
        <f>ROUND(0.03*(210+220+270+44+22)*C62,2)</f>
        <v>71258.679999999993</v>
      </c>
      <c r="AK62" s="351">
        <f>ROUND(0.015*(210+220+270+44+22)*C62,2)</f>
        <v>35629.339999999997</v>
      </c>
      <c r="AL62" s="351">
        <v>0</v>
      </c>
      <c r="AM62" s="350" t="e">
        <f>O62/N62+Q62/P62+S62/R62+AI62/C62</f>
        <v>#DIV/0!</v>
      </c>
      <c r="AN62" s="350">
        <f>856.62+639.02+1128.64+83.9+218.17</f>
        <v>2926.35</v>
      </c>
    </row>
    <row r="63" spans="1:40" s="19" customFormat="1" ht="9" hidden="1" customHeight="1">
      <c r="A63" s="349">
        <v>48</v>
      </c>
      <c r="B63" s="112" t="s">
        <v>520</v>
      </c>
      <c r="C63" s="117">
        <v>3458.6</v>
      </c>
      <c r="D63" s="54"/>
      <c r="E63" s="258">
        <f t="shared" si="13"/>
        <v>0</v>
      </c>
      <c r="F63" s="225">
        <v>3050610</v>
      </c>
      <c r="G63" s="117">
        <v>3050610</v>
      </c>
      <c r="H63" s="348">
        <f t="shared" si="7"/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348">
        <v>0</v>
      </c>
      <c r="O63" s="348">
        <v>0</v>
      </c>
      <c r="P63" s="348">
        <v>0</v>
      </c>
      <c r="Q63" s="348">
        <v>0</v>
      </c>
      <c r="R63" s="348">
        <v>0</v>
      </c>
      <c r="S63" s="348">
        <v>0</v>
      </c>
      <c r="T63" s="44">
        <v>0</v>
      </c>
      <c r="U63" s="348">
        <v>0</v>
      </c>
      <c r="V63" s="54" t="s">
        <v>997</v>
      </c>
      <c r="W63" s="348">
        <v>915</v>
      </c>
      <c r="X63" s="348">
        <f t="shared" si="8"/>
        <v>2913332.55</v>
      </c>
      <c r="Y63" s="348">
        <v>0</v>
      </c>
      <c r="Z63" s="348">
        <v>0</v>
      </c>
      <c r="AA63" s="348">
        <v>0</v>
      </c>
      <c r="AB63" s="348">
        <v>0</v>
      </c>
      <c r="AC63" s="348">
        <v>0</v>
      </c>
      <c r="AD63" s="348">
        <v>0</v>
      </c>
      <c r="AE63" s="348">
        <v>0</v>
      </c>
      <c r="AF63" s="348">
        <v>0</v>
      </c>
      <c r="AG63" s="348">
        <v>0</v>
      </c>
      <c r="AH63" s="348">
        <v>0</v>
      </c>
      <c r="AI63" s="348">
        <v>0</v>
      </c>
      <c r="AJ63" s="351">
        <f t="shared" si="9"/>
        <v>91518.3</v>
      </c>
      <c r="AK63" s="351">
        <f t="shared" ref="AK63:AK68" si="14">ROUND(X63/95.5*1.5,2)</f>
        <v>45759.15</v>
      </c>
      <c r="AL63" s="351">
        <v>0</v>
      </c>
      <c r="AM63" s="434">
        <f t="shared" ref="AM63:AM79" si="15">G63/W63</f>
        <v>3334</v>
      </c>
      <c r="AN63" s="350">
        <v>4814.95</v>
      </c>
    </row>
    <row r="64" spans="1:40" s="19" customFormat="1" ht="9" hidden="1" customHeight="1">
      <c r="A64" s="349">
        <v>49</v>
      </c>
      <c r="B64" s="112" t="s">
        <v>521</v>
      </c>
      <c r="C64" s="117">
        <v>1329</v>
      </c>
      <c r="D64" s="113"/>
      <c r="E64" s="258">
        <f t="shared" si="13"/>
        <v>450438.04999999981</v>
      </c>
      <c r="F64" s="258">
        <v>2170014</v>
      </c>
      <c r="G64" s="117">
        <f t="shared" ref="G64" si="16">ROUND(H64+U64+X64+Z64+AB64+AD64+AF64+AH64+AI64+AJ64+AK64+AL64,2)</f>
        <v>2620452.0499999998</v>
      </c>
      <c r="H64" s="348">
        <f t="shared" si="7"/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348">
        <v>0</v>
      </c>
      <c r="O64" s="348">
        <v>0</v>
      </c>
      <c r="P64" s="348">
        <v>0</v>
      </c>
      <c r="Q64" s="348">
        <v>0</v>
      </c>
      <c r="R64" s="348">
        <v>0</v>
      </c>
      <c r="S64" s="348">
        <v>0</v>
      </c>
      <c r="T64" s="44">
        <v>0</v>
      </c>
      <c r="U64" s="348">
        <v>0</v>
      </c>
      <c r="V64" s="113" t="s">
        <v>998</v>
      </c>
      <c r="W64" s="348">
        <v>725</v>
      </c>
      <c r="X64" s="348">
        <v>2533543</v>
      </c>
      <c r="Y64" s="348">
        <v>0</v>
      </c>
      <c r="Z64" s="348">
        <v>0</v>
      </c>
      <c r="AA64" s="348">
        <v>0</v>
      </c>
      <c r="AB64" s="348">
        <v>0</v>
      </c>
      <c r="AC64" s="348">
        <v>0</v>
      </c>
      <c r="AD64" s="348">
        <v>0</v>
      </c>
      <c r="AE64" s="348">
        <v>0</v>
      </c>
      <c r="AF64" s="348">
        <v>0</v>
      </c>
      <c r="AG64" s="348">
        <v>0</v>
      </c>
      <c r="AH64" s="348">
        <v>0</v>
      </c>
      <c r="AI64" s="348">
        <v>0</v>
      </c>
      <c r="AJ64" s="351">
        <v>54358.84</v>
      </c>
      <c r="AK64" s="351">
        <v>32550.21</v>
      </c>
      <c r="AL64" s="351">
        <v>0</v>
      </c>
      <c r="AM64" s="434">
        <f t="shared" si="15"/>
        <v>3614.4166206896548</v>
      </c>
      <c r="AN64" s="350">
        <v>4621.88</v>
      </c>
    </row>
    <row r="65" spans="1:40" s="19" customFormat="1" ht="9" hidden="1" customHeight="1">
      <c r="A65" s="349">
        <v>50</v>
      </c>
      <c r="B65" s="112" t="s">
        <v>522</v>
      </c>
      <c r="C65" s="117">
        <v>2510.5</v>
      </c>
      <c r="D65" s="113"/>
      <c r="E65" s="258">
        <f t="shared" si="13"/>
        <v>1867210.0099999998</v>
      </c>
      <c r="F65" s="258">
        <v>2179716</v>
      </c>
      <c r="G65" s="117">
        <f>ROUND(H65+AI65+AJ65+AK65,2)</f>
        <v>4046926.01</v>
      </c>
      <c r="H65" s="348">
        <f>I65+K65+M65+O65+Q65+S65</f>
        <v>3380513.7800000003</v>
      </c>
      <c r="I65" s="117">
        <v>0</v>
      </c>
      <c r="J65" s="117">
        <v>0</v>
      </c>
      <c r="K65" s="117">
        <f>ROUND(2510.5*0.955*1200,2)</f>
        <v>2877033</v>
      </c>
      <c r="L65" s="117">
        <v>0</v>
      </c>
      <c r="M65" s="117">
        <v>0</v>
      </c>
      <c r="N65" s="348">
        <v>0</v>
      </c>
      <c r="O65" s="348">
        <f>ROUND(2510.5*0.955*210,2)</f>
        <v>503480.78</v>
      </c>
      <c r="P65" s="348">
        <v>0</v>
      </c>
      <c r="Q65" s="348">
        <v>0</v>
      </c>
      <c r="R65" s="348">
        <v>0</v>
      </c>
      <c r="S65" s="348">
        <v>0</v>
      </c>
      <c r="T65" s="44">
        <v>0</v>
      </c>
      <c r="U65" s="348">
        <v>0</v>
      </c>
      <c r="V65" s="113" t="s">
        <v>998</v>
      </c>
      <c r="W65" s="348">
        <v>0</v>
      </c>
      <c r="X65" s="348">
        <v>0</v>
      </c>
      <c r="Y65" s="348">
        <v>0</v>
      </c>
      <c r="Z65" s="348">
        <v>0</v>
      </c>
      <c r="AA65" s="348">
        <v>0</v>
      </c>
      <c r="AB65" s="348">
        <v>0</v>
      </c>
      <c r="AC65" s="348">
        <v>0</v>
      </c>
      <c r="AD65" s="348">
        <v>0</v>
      </c>
      <c r="AE65" s="348">
        <v>0</v>
      </c>
      <c r="AF65" s="348">
        <v>0</v>
      </c>
      <c r="AG65" s="348">
        <v>0</v>
      </c>
      <c r="AH65" s="348">
        <v>0</v>
      </c>
      <c r="AI65" s="348">
        <f>ROUND(0.955*2510.5*(180+22),2)</f>
        <v>484300.56</v>
      </c>
      <c r="AJ65" s="351">
        <f>ROUND(2510.5*0.03*(1200+210+22+180),2)</f>
        <v>121407.78</v>
      </c>
      <c r="AK65" s="351">
        <f>ROUND(2510.5*0.015*(1200+210+22+180),2)</f>
        <v>60703.89</v>
      </c>
      <c r="AL65" s="351">
        <v>0</v>
      </c>
      <c r="AM65" s="434" t="e">
        <f t="shared" si="15"/>
        <v>#DIV/0!</v>
      </c>
      <c r="AN65" s="350">
        <v>4621.88</v>
      </c>
    </row>
    <row r="66" spans="1:40" s="19" customFormat="1" ht="9" hidden="1" customHeight="1">
      <c r="A66" s="349">
        <v>51</v>
      </c>
      <c r="B66" s="112" t="s">
        <v>523</v>
      </c>
      <c r="C66" s="117">
        <v>1289.3</v>
      </c>
      <c r="D66" s="113"/>
      <c r="E66" s="258">
        <f t="shared" si="13"/>
        <v>34445.919999999925</v>
      </c>
      <c r="F66" s="258">
        <v>1853082</v>
      </c>
      <c r="G66" s="117">
        <f t="shared" ref="G66" si="17">ROUND(H66+U66+X66+Z66+AB66+AD66+AF66+AH66+AI66+AJ66+AK66+AL66,2)</f>
        <v>1887527.92</v>
      </c>
      <c r="H66" s="348">
        <f t="shared" si="7"/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348">
        <v>0</v>
      </c>
      <c r="O66" s="348">
        <v>0</v>
      </c>
      <c r="P66" s="348">
        <v>0</v>
      </c>
      <c r="Q66" s="348">
        <v>0</v>
      </c>
      <c r="R66" s="348">
        <v>0</v>
      </c>
      <c r="S66" s="348">
        <v>0</v>
      </c>
      <c r="T66" s="44">
        <v>0</v>
      </c>
      <c r="U66" s="348">
        <v>0</v>
      </c>
      <c r="V66" s="113" t="s">
        <v>998</v>
      </c>
      <c r="W66" s="348">
        <v>582.61</v>
      </c>
      <c r="X66" s="348">
        <v>1813312</v>
      </c>
      <c r="Y66" s="348">
        <v>0</v>
      </c>
      <c r="Z66" s="348">
        <v>0</v>
      </c>
      <c r="AA66" s="348">
        <v>0</v>
      </c>
      <c r="AB66" s="348">
        <v>0</v>
      </c>
      <c r="AC66" s="348">
        <v>0</v>
      </c>
      <c r="AD66" s="348">
        <v>0</v>
      </c>
      <c r="AE66" s="348">
        <v>0</v>
      </c>
      <c r="AF66" s="348">
        <v>0</v>
      </c>
      <c r="AG66" s="348">
        <v>0</v>
      </c>
      <c r="AH66" s="348">
        <v>0</v>
      </c>
      <c r="AI66" s="348">
        <v>0</v>
      </c>
      <c r="AJ66" s="351">
        <v>46419.69</v>
      </c>
      <c r="AK66" s="351">
        <v>27796.23</v>
      </c>
      <c r="AL66" s="351">
        <v>0</v>
      </c>
      <c r="AM66" s="434">
        <f t="shared" si="15"/>
        <v>3239.7794751205779</v>
      </c>
      <c r="AN66" s="350">
        <v>4621.88</v>
      </c>
    </row>
    <row r="67" spans="1:40" s="19" customFormat="1" ht="9" hidden="1" customHeight="1">
      <c r="A67" s="349">
        <v>52</v>
      </c>
      <c r="B67" s="112" t="s">
        <v>524</v>
      </c>
      <c r="C67" s="117">
        <v>3491</v>
      </c>
      <c r="D67" s="54"/>
      <c r="E67" s="258">
        <f t="shared" si="13"/>
        <v>-1554188.17</v>
      </c>
      <c r="F67" s="225">
        <v>3660732</v>
      </c>
      <c r="G67" s="117">
        <f>ROUND(H67+U67+X67+Z67+AB67+AD67+AF67+AH67+AI67+AJ67+AK67+AL67,2)</f>
        <v>2106543.83</v>
      </c>
      <c r="H67" s="348">
        <f t="shared" si="7"/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348">
        <v>0</v>
      </c>
      <c r="O67" s="348">
        <v>0</v>
      </c>
      <c r="P67" s="348">
        <v>0</v>
      </c>
      <c r="Q67" s="348">
        <v>0</v>
      </c>
      <c r="R67" s="348">
        <v>0</v>
      </c>
      <c r="S67" s="348">
        <v>0</v>
      </c>
      <c r="T67" s="44">
        <v>0</v>
      </c>
      <c r="U67" s="348">
        <v>0</v>
      </c>
      <c r="V67" s="54" t="s">
        <v>997</v>
      </c>
      <c r="W67" s="348">
        <v>858</v>
      </c>
      <c r="X67" s="348">
        <v>1942360</v>
      </c>
      <c r="Y67" s="348">
        <v>0</v>
      </c>
      <c r="Z67" s="348">
        <v>0</v>
      </c>
      <c r="AA67" s="348">
        <v>0</v>
      </c>
      <c r="AB67" s="348">
        <v>0</v>
      </c>
      <c r="AC67" s="348">
        <v>0</v>
      </c>
      <c r="AD67" s="348">
        <v>0</v>
      </c>
      <c r="AE67" s="348">
        <v>0</v>
      </c>
      <c r="AF67" s="348">
        <v>0</v>
      </c>
      <c r="AG67" s="348">
        <v>0</v>
      </c>
      <c r="AH67" s="348">
        <v>0</v>
      </c>
      <c r="AI67" s="348">
        <v>0</v>
      </c>
      <c r="AJ67" s="351">
        <v>109272.85</v>
      </c>
      <c r="AK67" s="351">
        <v>54910.98</v>
      </c>
      <c r="AL67" s="351">
        <v>0</v>
      </c>
      <c r="AM67" s="434">
        <f t="shared" si="15"/>
        <v>2455.1792890442889</v>
      </c>
      <c r="AN67" s="350">
        <v>4814.95</v>
      </c>
    </row>
    <row r="68" spans="1:40" s="19" customFormat="1" ht="9" hidden="1" customHeight="1">
      <c r="A68" s="349">
        <v>53</v>
      </c>
      <c r="B68" s="112" t="s">
        <v>525</v>
      </c>
      <c r="C68" s="117">
        <v>5053</v>
      </c>
      <c r="D68" s="54"/>
      <c r="E68" s="258">
        <f t="shared" si="13"/>
        <v>0</v>
      </c>
      <c r="F68" s="225">
        <v>4790958</v>
      </c>
      <c r="G68" s="117">
        <v>4790958</v>
      </c>
      <c r="H68" s="348">
        <f t="shared" si="7"/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348">
        <v>0</v>
      </c>
      <c r="O68" s="348">
        <v>0</v>
      </c>
      <c r="P68" s="348">
        <v>0</v>
      </c>
      <c r="Q68" s="348">
        <v>0</v>
      </c>
      <c r="R68" s="348">
        <v>0</v>
      </c>
      <c r="S68" s="348">
        <v>0</v>
      </c>
      <c r="T68" s="44">
        <v>0</v>
      </c>
      <c r="U68" s="348">
        <v>0</v>
      </c>
      <c r="V68" s="54" t="s">
        <v>997</v>
      </c>
      <c r="W68" s="348">
        <v>1437</v>
      </c>
      <c r="X68" s="348">
        <f t="shared" si="8"/>
        <v>4575364.8899999997</v>
      </c>
      <c r="Y68" s="348">
        <v>0</v>
      </c>
      <c r="Z68" s="348">
        <v>0</v>
      </c>
      <c r="AA68" s="348">
        <v>0</v>
      </c>
      <c r="AB68" s="348">
        <v>0</v>
      </c>
      <c r="AC68" s="348">
        <v>0</v>
      </c>
      <c r="AD68" s="348">
        <v>0</v>
      </c>
      <c r="AE68" s="348">
        <v>0</v>
      </c>
      <c r="AF68" s="348">
        <v>0</v>
      </c>
      <c r="AG68" s="348">
        <v>0</v>
      </c>
      <c r="AH68" s="348">
        <v>0</v>
      </c>
      <c r="AI68" s="348">
        <v>0</v>
      </c>
      <c r="AJ68" s="351">
        <f t="shared" si="9"/>
        <v>143728.74</v>
      </c>
      <c r="AK68" s="351">
        <f t="shared" si="14"/>
        <v>71864.37</v>
      </c>
      <c r="AL68" s="351">
        <v>0</v>
      </c>
      <c r="AM68" s="434">
        <f t="shared" si="15"/>
        <v>3334</v>
      </c>
      <c r="AN68" s="350">
        <v>4814.95</v>
      </c>
    </row>
    <row r="69" spans="1:40" s="19" customFormat="1" ht="9" hidden="1" customHeight="1">
      <c r="A69" s="349">
        <v>54</v>
      </c>
      <c r="B69" s="112" t="s">
        <v>526</v>
      </c>
      <c r="C69" s="117">
        <v>2528.1000000000004</v>
      </c>
      <c r="D69" s="54"/>
      <c r="E69" s="258">
        <f t="shared" si="13"/>
        <v>348762.75999999978</v>
      </c>
      <c r="F69" s="225">
        <v>2371474.2000000002</v>
      </c>
      <c r="G69" s="117">
        <f t="shared" ref="G69:G73" si="18">ROUND(H69+U69+X69+Z69+AB69+AD69+AF69+AH69+AI69+AJ69+AK69+AL69,2)</f>
        <v>2720236.96</v>
      </c>
      <c r="H69" s="348">
        <f t="shared" si="7"/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348">
        <v>0</v>
      </c>
      <c r="O69" s="348">
        <v>0</v>
      </c>
      <c r="P69" s="348">
        <v>0</v>
      </c>
      <c r="Q69" s="348">
        <v>0</v>
      </c>
      <c r="R69" s="348">
        <v>0</v>
      </c>
      <c r="S69" s="348">
        <v>0</v>
      </c>
      <c r="T69" s="44">
        <v>0</v>
      </c>
      <c r="U69" s="348">
        <v>0</v>
      </c>
      <c r="V69" s="54" t="s">
        <v>997</v>
      </c>
      <c r="W69" s="348">
        <v>690.3</v>
      </c>
      <c r="X69" s="348">
        <v>2633441</v>
      </c>
      <c r="Y69" s="348">
        <v>0</v>
      </c>
      <c r="Z69" s="348">
        <v>0</v>
      </c>
      <c r="AA69" s="348">
        <v>0</v>
      </c>
      <c r="AB69" s="348">
        <v>0</v>
      </c>
      <c r="AC69" s="348">
        <v>0</v>
      </c>
      <c r="AD69" s="348">
        <v>0</v>
      </c>
      <c r="AE69" s="348">
        <v>0</v>
      </c>
      <c r="AF69" s="348">
        <v>0</v>
      </c>
      <c r="AG69" s="348">
        <v>0</v>
      </c>
      <c r="AH69" s="348">
        <v>0</v>
      </c>
      <c r="AI69" s="348">
        <v>0</v>
      </c>
      <c r="AJ69" s="351">
        <v>51223.85</v>
      </c>
      <c r="AK69" s="351">
        <v>35572.11</v>
      </c>
      <c r="AL69" s="351">
        <v>0</v>
      </c>
      <c r="AM69" s="434">
        <f t="shared" si="15"/>
        <v>3940.6590757641607</v>
      </c>
      <c r="AN69" s="350">
        <v>4814.95</v>
      </c>
    </row>
    <row r="70" spans="1:40" s="19" customFormat="1" ht="9" hidden="1" customHeight="1">
      <c r="A70" s="349">
        <v>55</v>
      </c>
      <c r="B70" s="112" t="s">
        <v>527</v>
      </c>
      <c r="C70" s="117">
        <v>4736.3</v>
      </c>
      <c r="D70" s="54"/>
      <c r="E70" s="258">
        <f t="shared" si="13"/>
        <v>-542549.21</v>
      </c>
      <c r="F70" s="225">
        <v>4380876</v>
      </c>
      <c r="G70" s="117">
        <f t="shared" si="18"/>
        <v>3838326.79</v>
      </c>
      <c r="H70" s="348">
        <f t="shared" si="7"/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348">
        <v>0</v>
      </c>
      <c r="O70" s="348">
        <v>0</v>
      </c>
      <c r="P70" s="348">
        <v>0</v>
      </c>
      <c r="Q70" s="348">
        <v>0</v>
      </c>
      <c r="R70" s="348">
        <v>0</v>
      </c>
      <c r="S70" s="348">
        <v>0</v>
      </c>
      <c r="T70" s="44">
        <v>0</v>
      </c>
      <c r="U70" s="348">
        <v>0</v>
      </c>
      <c r="V70" s="54" t="s">
        <v>997</v>
      </c>
      <c r="W70" s="348">
        <v>1302.7</v>
      </c>
      <c r="X70" s="348">
        <v>3674707.4</v>
      </c>
      <c r="Y70" s="348">
        <v>0</v>
      </c>
      <c r="Z70" s="348">
        <v>0</v>
      </c>
      <c r="AA70" s="348">
        <v>0</v>
      </c>
      <c r="AB70" s="348">
        <v>0</v>
      </c>
      <c r="AC70" s="348">
        <v>0</v>
      </c>
      <c r="AD70" s="348">
        <v>0</v>
      </c>
      <c r="AE70" s="348">
        <v>0</v>
      </c>
      <c r="AF70" s="348">
        <v>0</v>
      </c>
      <c r="AG70" s="348">
        <v>0</v>
      </c>
      <c r="AH70" s="348">
        <v>0</v>
      </c>
      <c r="AI70" s="348">
        <v>0</v>
      </c>
      <c r="AJ70" s="351">
        <v>97906.25</v>
      </c>
      <c r="AK70" s="351">
        <v>65713.14</v>
      </c>
      <c r="AL70" s="351">
        <v>0</v>
      </c>
      <c r="AM70" s="434">
        <f t="shared" si="15"/>
        <v>2946.4395409534045</v>
      </c>
      <c r="AN70" s="350">
        <v>4814.95</v>
      </c>
    </row>
    <row r="71" spans="1:40" s="19" customFormat="1" ht="9" hidden="1" customHeight="1">
      <c r="A71" s="349">
        <v>56</v>
      </c>
      <c r="B71" s="112" t="s">
        <v>528</v>
      </c>
      <c r="C71" s="117">
        <v>1897.7</v>
      </c>
      <c r="D71" s="113"/>
      <c r="E71" s="258">
        <f t="shared" si="13"/>
        <v>-1043902.1799999997</v>
      </c>
      <c r="F71" s="258">
        <v>5303760</v>
      </c>
      <c r="G71" s="117">
        <f t="shared" si="18"/>
        <v>4259857.82</v>
      </c>
      <c r="H71" s="348">
        <f t="shared" si="7"/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348">
        <v>0</v>
      </c>
      <c r="O71" s="348">
        <v>0</v>
      </c>
      <c r="P71" s="348">
        <v>0</v>
      </c>
      <c r="Q71" s="348">
        <v>0</v>
      </c>
      <c r="R71" s="348">
        <v>0</v>
      </c>
      <c r="S71" s="348">
        <v>0</v>
      </c>
      <c r="T71" s="44">
        <v>0</v>
      </c>
      <c r="U71" s="348">
        <v>0</v>
      </c>
      <c r="V71" s="113" t="s">
        <v>998</v>
      </c>
      <c r="W71" s="348">
        <v>1230</v>
      </c>
      <c r="X71" s="348">
        <v>4061770.04</v>
      </c>
      <c r="Y71" s="348">
        <v>0</v>
      </c>
      <c r="Z71" s="348">
        <v>0</v>
      </c>
      <c r="AA71" s="348">
        <v>0</v>
      </c>
      <c r="AB71" s="348">
        <v>0</v>
      </c>
      <c r="AC71" s="348">
        <v>0</v>
      </c>
      <c r="AD71" s="348">
        <v>0</v>
      </c>
      <c r="AE71" s="348">
        <v>0</v>
      </c>
      <c r="AF71" s="348">
        <v>0</v>
      </c>
      <c r="AG71" s="348">
        <v>0</v>
      </c>
      <c r="AH71" s="348">
        <v>0</v>
      </c>
      <c r="AI71" s="348">
        <v>0</v>
      </c>
      <c r="AJ71" s="351">
        <v>118531.38</v>
      </c>
      <c r="AK71" s="351">
        <v>79556.399999999994</v>
      </c>
      <c r="AL71" s="351">
        <v>0</v>
      </c>
      <c r="AM71" s="434">
        <f t="shared" si="15"/>
        <v>3463.2990406504068</v>
      </c>
      <c r="AN71" s="350">
        <v>4621.88</v>
      </c>
    </row>
    <row r="72" spans="1:40" s="19" customFormat="1" ht="9" hidden="1" customHeight="1">
      <c r="A72" s="349">
        <v>57</v>
      </c>
      <c r="B72" s="112" t="s">
        <v>529</v>
      </c>
      <c r="C72" s="117">
        <v>27311.7</v>
      </c>
      <c r="D72" s="54"/>
      <c r="E72" s="258">
        <f t="shared" si="13"/>
        <v>-3260317.9299999997</v>
      </c>
      <c r="F72" s="225">
        <v>15546442</v>
      </c>
      <c r="G72" s="117">
        <f t="shared" si="18"/>
        <v>12286124.07</v>
      </c>
      <c r="H72" s="348">
        <f t="shared" si="7"/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348">
        <v>0</v>
      </c>
      <c r="O72" s="348">
        <v>0</v>
      </c>
      <c r="P72" s="348">
        <v>0</v>
      </c>
      <c r="Q72" s="348">
        <v>0</v>
      </c>
      <c r="R72" s="348">
        <v>0</v>
      </c>
      <c r="S72" s="348">
        <v>0</v>
      </c>
      <c r="T72" s="44">
        <v>0</v>
      </c>
      <c r="U72" s="348">
        <v>0</v>
      </c>
      <c r="V72" s="54" t="s">
        <v>997</v>
      </c>
      <c r="W72" s="348">
        <v>3855</v>
      </c>
      <c r="X72" s="348">
        <v>11588866.140000001</v>
      </c>
      <c r="Y72" s="348">
        <v>0</v>
      </c>
      <c r="Z72" s="348">
        <v>0</v>
      </c>
      <c r="AA72" s="348">
        <v>0</v>
      </c>
      <c r="AB72" s="348">
        <v>0</v>
      </c>
      <c r="AC72" s="348">
        <v>0</v>
      </c>
      <c r="AD72" s="348">
        <v>0</v>
      </c>
      <c r="AE72" s="348">
        <v>0</v>
      </c>
      <c r="AF72" s="348">
        <v>0</v>
      </c>
      <c r="AG72" s="348">
        <v>0</v>
      </c>
      <c r="AH72" s="348">
        <v>0</v>
      </c>
      <c r="AI72" s="348">
        <v>0</v>
      </c>
      <c r="AJ72" s="351">
        <v>464061.3</v>
      </c>
      <c r="AK72" s="351">
        <v>233196.63</v>
      </c>
      <c r="AL72" s="351">
        <v>0</v>
      </c>
      <c r="AM72" s="434">
        <f t="shared" si="15"/>
        <v>3187.0620155642023</v>
      </c>
      <c r="AN72" s="350">
        <v>4814.95</v>
      </c>
    </row>
    <row r="73" spans="1:40" s="19" customFormat="1" ht="9" hidden="1" customHeight="1">
      <c r="A73" s="349">
        <v>58</v>
      </c>
      <c r="B73" s="112" t="s">
        <v>530</v>
      </c>
      <c r="C73" s="117">
        <v>2768.4</v>
      </c>
      <c r="D73" s="54"/>
      <c r="E73" s="258">
        <f t="shared" si="13"/>
        <v>-1368898.61</v>
      </c>
      <c r="F73" s="225">
        <v>3040608</v>
      </c>
      <c r="G73" s="117">
        <f t="shared" si="18"/>
        <v>1671709.39</v>
      </c>
      <c r="H73" s="348">
        <f t="shared" si="7"/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348">
        <v>0</v>
      </c>
      <c r="O73" s="348">
        <v>0</v>
      </c>
      <c r="P73" s="348">
        <v>0</v>
      </c>
      <c r="Q73" s="348">
        <v>0</v>
      </c>
      <c r="R73" s="348">
        <v>0</v>
      </c>
      <c r="S73" s="348">
        <v>0</v>
      </c>
      <c r="T73" s="44">
        <v>0</v>
      </c>
      <c r="U73" s="348">
        <v>0</v>
      </c>
      <c r="V73" s="54" t="s">
        <v>997</v>
      </c>
      <c r="W73" s="348">
        <v>753</v>
      </c>
      <c r="X73" s="348">
        <v>1535338.12</v>
      </c>
      <c r="Y73" s="348">
        <v>0</v>
      </c>
      <c r="Z73" s="348">
        <v>0</v>
      </c>
      <c r="AA73" s="348">
        <v>0</v>
      </c>
      <c r="AB73" s="348">
        <v>0</v>
      </c>
      <c r="AC73" s="348">
        <v>0</v>
      </c>
      <c r="AD73" s="348">
        <v>0</v>
      </c>
      <c r="AE73" s="348">
        <v>0</v>
      </c>
      <c r="AF73" s="348">
        <v>0</v>
      </c>
      <c r="AG73" s="348">
        <v>0</v>
      </c>
      <c r="AH73" s="348">
        <v>0</v>
      </c>
      <c r="AI73" s="348">
        <v>0</v>
      </c>
      <c r="AJ73" s="351">
        <v>90762.15</v>
      </c>
      <c r="AK73" s="351">
        <v>45609.120000000003</v>
      </c>
      <c r="AL73" s="351">
        <v>0</v>
      </c>
      <c r="AM73" s="434">
        <f t="shared" si="15"/>
        <v>2220.0655909694556</v>
      </c>
      <c r="AN73" s="350">
        <v>4814.95</v>
      </c>
    </row>
    <row r="74" spans="1:40" s="19" customFormat="1" ht="9" hidden="1" customHeight="1">
      <c r="A74" s="349">
        <v>59</v>
      </c>
      <c r="B74" s="112" t="s">
        <v>531</v>
      </c>
      <c r="C74" s="117">
        <v>2680.2</v>
      </c>
      <c r="D74" s="54"/>
      <c r="E74" s="258">
        <f t="shared" si="13"/>
        <v>-1159122.42</v>
      </c>
      <c r="F74" s="225">
        <v>3764086</v>
      </c>
      <c r="G74" s="117">
        <f>ROUND(H74+U74+X74+Z74+AB74+AD74+AF74+AH74+AI74+AJ74+AK74+AL74,2)</f>
        <v>2604963.58</v>
      </c>
      <c r="H74" s="348">
        <f t="shared" si="7"/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348">
        <v>0</v>
      </c>
      <c r="O74" s="348">
        <v>0</v>
      </c>
      <c r="P74" s="348">
        <v>0</v>
      </c>
      <c r="Q74" s="348">
        <v>0</v>
      </c>
      <c r="R74" s="348">
        <v>0</v>
      </c>
      <c r="S74" s="348">
        <v>0</v>
      </c>
      <c r="T74" s="44">
        <v>0</v>
      </c>
      <c r="U74" s="348">
        <v>0</v>
      </c>
      <c r="V74" s="54" t="s">
        <v>997</v>
      </c>
      <c r="W74" s="348">
        <v>960</v>
      </c>
      <c r="X74" s="348">
        <v>2474538</v>
      </c>
      <c r="Y74" s="348">
        <v>0</v>
      </c>
      <c r="Z74" s="348">
        <v>0</v>
      </c>
      <c r="AA74" s="348">
        <v>0</v>
      </c>
      <c r="AB74" s="348">
        <v>0</v>
      </c>
      <c r="AC74" s="348">
        <v>0</v>
      </c>
      <c r="AD74" s="348">
        <v>0</v>
      </c>
      <c r="AE74" s="348">
        <v>0</v>
      </c>
      <c r="AF74" s="348">
        <v>0</v>
      </c>
      <c r="AG74" s="348">
        <v>0</v>
      </c>
      <c r="AH74" s="348">
        <v>0</v>
      </c>
      <c r="AI74" s="348">
        <v>0</v>
      </c>
      <c r="AJ74" s="351">
        <v>73964.289999999994</v>
      </c>
      <c r="AK74" s="351">
        <v>56461.29</v>
      </c>
      <c r="AL74" s="351">
        <v>0</v>
      </c>
      <c r="AM74" s="434">
        <f t="shared" si="15"/>
        <v>2713.5037291666667</v>
      </c>
      <c r="AN74" s="350">
        <v>4814.95</v>
      </c>
    </row>
    <row r="75" spans="1:40" s="19" customFormat="1" ht="9" hidden="1" customHeight="1">
      <c r="A75" s="349">
        <v>60</v>
      </c>
      <c r="B75" s="112" t="s">
        <v>532</v>
      </c>
      <c r="C75" s="117">
        <v>1751.2</v>
      </c>
      <c r="D75" s="113"/>
      <c r="E75" s="258">
        <f t="shared" si="13"/>
        <v>274056.10999999987</v>
      </c>
      <c r="F75" s="258">
        <v>2102100</v>
      </c>
      <c r="G75" s="117">
        <f t="shared" ref="G75:G79" si="19">ROUND(H75+U75+X75+Z75+AB75+AD75+AF75+AH75+AI75+AJ75+AK75+AL75,2)</f>
        <v>2376156.11</v>
      </c>
      <c r="H75" s="348">
        <f t="shared" si="7"/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348">
        <v>0</v>
      </c>
      <c r="O75" s="348">
        <v>0</v>
      </c>
      <c r="P75" s="348">
        <v>0</v>
      </c>
      <c r="Q75" s="348">
        <v>0</v>
      </c>
      <c r="R75" s="348">
        <v>0</v>
      </c>
      <c r="S75" s="348">
        <v>0</v>
      </c>
      <c r="T75" s="44">
        <v>0</v>
      </c>
      <c r="U75" s="348">
        <v>0</v>
      </c>
      <c r="V75" s="113" t="s">
        <v>998</v>
      </c>
      <c r="W75" s="348">
        <v>610</v>
      </c>
      <c r="X75" s="348">
        <v>2281876.92</v>
      </c>
      <c r="Y75" s="348">
        <v>0</v>
      </c>
      <c r="Z75" s="348">
        <v>0</v>
      </c>
      <c r="AA75" s="348">
        <v>0</v>
      </c>
      <c r="AB75" s="348">
        <v>0</v>
      </c>
      <c r="AC75" s="348">
        <v>0</v>
      </c>
      <c r="AD75" s="348">
        <v>0</v>
      </c>
      <c r="AE75" s="348">
        <v>0</v>
      </c>
      <c r="AF75" s="348">
        <v>0</v>
      </c>
      <c r="AG75" s="348">
        <v>0</v>
      </c>
      <c r="AH75" s="348">
        <v>0</v>
      </c>
      <c r="AI75" s="348">
        <v>0</v>
      </c>
      <c r="AJ75" s="351">
        <v>62747.69</v>
      </c>
      <c r="AK75" s="351">
        <v>31531.5</v>
      </c>
      <c r="AL75" s="351">
        <v>0</v>
      </c>
      <c r="AM75" s="434">
        <f t="shared" si="15"/>
        <v>3895.3378852459014</v>
      </c>
      <c r="AN75" s="350">
        <v>4621.88</v>
      </c>
    </row>
    <row r="76" spans="1:40" s="19" customFormat="1" ht="9" hidden="1" customHeight="1">
      <c r="A76" s="349">
        <v>61</v>
      </c>
      <c r="B76" s="112" t="s">
        <v>533</v>
      </c>
      <c r="C76" s="117">
        <v>1207.5999999999999</v>
      </c>
      <c r="D76" s="113"/>
      <c r="E76" s="258">
        <f t="shared" si="13"/>
        <v>220792.24</v>
      </c>
      <c r="F76" s="258">
        <v>1862784</v>
      </c>
      <c r="G76" s="117">
        <f t="shared" si="19"/>
        <v>2083576.24</v>
      </c>
      <c r="H76" s="348">
        <f t="shared" si="7"/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348">
        <v>0</v>
      </c>
      <c r="O76" s="348">
        <v>0</v>
      </c>
      <c r="P76" s="348">
        <v>0</v>
      </c>
      <c r="Q76" s="348">
        <v>0</v>
      </c>
      <c r="R76" s="348">
        <v>0</v>
      </c>
      <c r="S76" s="348">
        <v>0</v>
      </c>
      <c r="T76" s="44">
        <v>0</v>
      </c>
      <c r="U76" s="348">
        <v>0</v>
      </c>
      <c r="V76" s="113" t="s">
        <v>998</v>
      </c>
      <c r="W76" s="348">
        <v>595</v>
      </c>
      <c r="X76" s="348">
        <v>2000030.38</v>
      </c>
      <c r="Y76" s="348">
        <v>0</v>
      </c>
      <c r="Z76" s="348">
        <v>0</v>
      </c>
      <c r="AA76" s="348">
        <v>0</v>
      </c>
      <c r="AB76" s="348">
        <v>0</v>
      </c>
      <c r="AC76" s="348">
        <v>0</v>
      </c>
      <c r="AD76" s="348">
        <v>0</v>
      </c>
      <c r="AE76" s="348">
        <v>0</v>
      </c>
      <c r="AF76" s="348">
        <v>0</v>
      </c>
      <c r="AG76" s="348">
        <v>0</v>
      </c>
      <c r="AH76" s="348">
        <v>0</v>
      </c>
      <c r="AI76" s="348">
        <v>0</v>
      </c>
      <c r="AJ76" s="351">
        <v>55604.1</v>
      </c>
      <c r="AK76" s="351">
        <v>27941.759999999998</v>
      </c>
      <c r="AL76" s="351">
        <v>0</v>
      </c>
      <c r="AM76" s="434">
        <f t="shared" si="15"/>
        <v>3501.808806722689</v>
      </c>
      <c r="AN76" s="350">
        <v>4621.88</v>
      </c>
    </row>
    <row r="77" spans="1:40" s="19" customFormat="1" ht="9" hidden="1" customHeight="1">
      <c r="A77" s="349">
        <v>62</v>
      </c>
      <c r="B77" s="112" t="s">
        <v>534</v>
      </c>
      <c r="C77" s="117">
        <v>3071.7</v>
      </c>
      <c r="D77" s="54"/>
      <c r="E77" s="258">
        <f t="shared" si="13"/>
        <v>543321.85000000009</v>
      </c>
      <c r="F77" s="225">
        <v>2850570</v>
      </c>
      <c r="G77" s="117">
        <f t="shared" si="19"/>
        <v>3393891.85</v>
      </c>
      <c r="H77" s="348">
        <f t="shared" si="7"/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348">
        <v>0</v>
      </c>
      <c r="O77" s="348">
        <v>0</v>
      </c>
      <c r="P77" s="348">
        <v>0</v>
      </c>
      <c r="Q77" s="348">
        <v>0</v>
      </c>
      <c r="R77" s="348">
        <v>0</v>
      </c>
      <c r="S77" s="348">
        <v>0</v>
      </c>
      <c r="T77" s="44">
        <v>0</v>
      </c>
      <c r="U77" s="348">
        <v>0</v>
      </c>
      <c r="V77" s="54" t="s">
        <v>997</v>
      </c>
      <c r="W77" s="348">
        <v>953</v>
      </c>
      <c r="X77" s="348">
        <v>3287423.08</v>
      </c>
      <c r="Y77" s="348">
        <v>0</v>
      </c>
      <c r="Z77" s="348">
        <v>0</v>
      </c>
      <c r="AA77" s="348">
        <v>0</v>
      </c>
      <c r="AB77" s="348">
        <v>0</v>
      </c>
      <c r="AC77" s="348">
        <v>0</v>
      </c>
      <c r="AD77" s="348">
        <v>0</v>
      </c>
      <c r="AE77" s="348">
        <v>0</v>
      </c>
      <c r="AF77" s="348">
        <v>0</v>
      </c>
      <c r="AG77" s="348">
        <v>0</v>
      </c>
      <c r="AH77" s="348">
        <v>0</v>
      </c>
      <c r="AI77" s="348">
        <v>0</v>
      </c>
      <c r="AJ77" s="351">
        <v>63710.22</v>
      </c>
      <c r="AK77" s="351">
        <v>42758.55</v>
      </c>
      <c r="AL77" s="351">
        <v>0</v>
      </c>
      <c r="AM77" s="434">
        <f t="shared" si="15"/>
        <v>3561.2716159496326</v>
      </c>
      <c r="AN77" s="350">
        <v>4814.95</v>
      </c>
    </row>
    <row r="78" spans="1:40" s="19" customFormat="1" ht="9" hidden="1" customHeight="1">
      <c r="A78" s="349">
        <v>63</v>
      </c>
      <c r="B78" s="112" t="s">
        <v>535</v>
      </c>
      <c r="C78" s="117">
        <v>5535.8</v>
      </c>
      <c r="D78" s="54"/>
      <c r="E78" s="258">
        <f t="shared" si="13"/>
        <v>508352.16999999993</v>
      </c>
      <c r="F78" s="225">
        <v>4634260</v>
      </c>
      <c r="G78" s="117">
        <f t="shared" si="19"/>
        <v>5142612.17</v>
      </c>
      <c r="H78" s="348">
        <f t="shared" si="7"/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348">
        <v>0</v>
      </c>
      <c r="O78" s="348">
        <v>0</v>
      </c>
      <c r="P78" s="348">
        <v>0</v>
      </c>
      <c r="Q78" s="348">
        <v>0</v>
      </c>
      <c r="R78" s="348">
        <v>0</v>
      </c>
      <c r="S78" s="348">
        <v>0</v>
      </c>
      <c r="T78" s="44">
        <v>0</v>
      </c>
      <c r="U78" s="348">
        <v>0</v>
      </c>
      <c r="V78" s="54" t="s">
        <v>997</v>
      </c>
      <c r="W78" s="348">
        <v>1357</v>
      </c>
      <c r="X78" s="348">
        <v>4969522.5999999996</v>
      </c>
      <c r="Y78" s="348">
        <v>0</v>
      </c>
      <c r="Z78" s="348">
        <v>0</v>
      </c>
      <c r="AA78" s="348">
        <v>0</v>
      </c>
      <c r="AB78" s="348">
        <v>0</v>
      </c>
      <c r="AC78" s="348">
        <v>0</v>
      </c>
      <c r="AD78" s="348">
        <v>0</v>
      </c>
      <c r="AE78" s="348">
        <v>0</v>
      </c>
      <c r="AF78" s="348">
        <v>0</v>
      </c>
      <c r="AG78" s="348">
        <v>0</v>
      </c>
      <c r="AH78" s="348">
        <v>0</v>
      </c>
      <c r="AI78" s="348">
        <v>0</v>
      </c>
      <c r="AJ78" s="351">
        <v>103575.67</v>
      </c>
      <c r="AK78" s="351">
        <v>69513.899999999994</v>
      </c>
      <c r="AL78" s="351">
        <v>0</v>
      </c>
      <c r="AM78" s="434">
        <f t="shared" si="15"/>
        <v>3789.6920928518789</v>
      </c>
      <c r="AN78" s="350">
        <v>4814.95</v>
      </c>
    </row>
    <row r="79" spans="1:40" s="19" customFormat="1" ht="9" hidden="1" customHeight="1">
      <c r="A79" s="349">
        <v>64</v>
      </c>
      <c r="B79" s="112" t="s">
        <v>536</v>
      </c>
      <c r="C79" s="117">
        <v>3791</v>
      </c>
      <c r="D79" s="54"/>
      <c r="E79" s="258">
        <f t="shared" si="13"/>
        <v>389455.43999999994</v>
      </c>
      <c r="F79" s="225">
        <v>3173968</v>
      </c>
      <c r="G79" s="117">
        <f t="shared" si="19"/>
        <v>3563423.44</v>
      </c>
      <c r="H79" s="348">
        <f t="shared" si="7"/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348">
        <v>0</v>
      </c>
      <c r="O79" s="348">
        <v>0</v>
      </c>
      <c r="P79" s="348">
        <v>0</v>
      </c>
      <c r="Q79" s="348">
        <v>0</v>
      </c>
      <c r="R79" s="348">
        <v>0</v>
      </c>
      <c r="S79" s="348">
        <v>0</v>
      </c>
      <c r="T79" s="44">
        <v>0</v>
      </c>
      <c r="U79" s="348">
        <v>0</v>
      </c>
      <c r="V79" s="54" t="s">
        <v>997</v>
      </c>
      <c r="W79" s="348">
        <v>1037</v>
      </c>
      <c r="X79" s="348">
        <v>3444875.76</v>
      </c>
      <c r="Y79" s="348">
        <v>0</v>
      </c>
      <c r="Z79" s="348">
        <v>0</v>
      </c>
      <c r="AA79" s="348">
        <v>0</v>
      </c>
      <c r="AB79" s="348">
        <v>0</v>
      </c>
      <c r="AC79" s="348">
        <v>0</v>
      </c>
      <c r="AD79" s="348">
        <v>0</v>
      </c>
      <c r="AE79" s="348">
        <v>0</v>
      </c>
      <c r="AF79" s="348">
        <v>0</v>
      </c>
      <c r="AG79" s="348">
        <v>0</v>
      </c>
      <c r="AH79" s="348">
        <v>0</v>
      </c>
      <c r="AI79" s="348">
        <v>0</v>
      </c>
      <c r="AJ79" s="351">
        <v>70938.16</v>
      </c>
      <c r="AK79" s="351">
        <v>47609.52</v>
      </c>
      <c r="AL79" s="351">
        <v>0</v>
      </c>
      <c r="AM79" s="434">
        <f t="shared" si="15"/>
        <v>3436.2810414657665</v>
      </c>
      <c r="AN79" s="350">
        <v>4814.95</v>
      </c>
    </row>
    <row r="80" spans="1:40" s="19" customFormat="1" ht="9" hidden="1" customHeight="1">
      <c r="A80" s="349">
        <v>65</v>
      </c>
      <c r="B80" s="112" t="s">
        <v>537</v>
      </c>
      <c r="C80" s="117">
        <v>3980.7</v>
      </c>
      <c r="D80" s="113"/>
      <c r="E80" s="258">
        <f t="shared" ref="E80:E111" si="20">G80-F80</f>
        <v>0</v>
      </c>
      <c r="F80" s="258">
        <v>7292642.4000000004</v>
      </c>
      <c r="G80" s="117">
        <f>H80+AI80+AJ80+AK80</f>
        <v>7292642.3999999994</v>
      </c>
      <c r="H80" s="348">
        <f t="shared" si="7"/>
        <v>6196556.6500000004</v>
      </c>
      <c r="I80" s="117">
        <v>0</v>
      </c>
      <c r="J80" s="117">
        <v>0</v>
      </c>
      <c r="K80" s="117">
        <f>ROUND(0.955*(C80*1200)-0.01,2)</f>
        <v>4561882.1900000004</v>
      </c>
      <c r="L80" s="117">
        <v>0</v>
      </c>
      <c r="M80" s="117">
        <v>0</v>
      </c>
      <c r="N80" s="348"/>
      <c r="O80" s="348">
        <f>ROUND(0.955*(C80*210),2)</f>
        <v>798329.39</v>
      </c>
      <c r="P80" s="348">
        <v>0</v>
      </c>
      <c r="Q80" s="348">
        <v>0</v>
      </c>
      <c r="R80" s="348">
        <v>0</v>
      </c>
      <c r="S80" s="348">
        <f>ROUND(0.955*(C80*220),2)</f>
        <v>836345.07</v>
      </c>
      <c r="T80" s="44">
        <v>0</v>
      </c>
      <c r="U80" s="348">
        <v>0</v>
      </c>
      <c r="V80" s="113"/>
      <c r="W80" s="348">
        <v>0</v>
      </c>
      <c r="X80" s="348">
        <v>0</v>
      </c>
      <c r="Y80" s="348">
        <v>0</v>
      </c>
      <c r="Z80" s="348">
        <v>0</v>
      </c>
      <c r="AA80" s="348">
        <v>0</v>
      </c>
      <c r="AB80" s="348">
        <v>0</v>
      </c>
      <c r="AC80" s="348">
        <v>0</v>
      </c>
      <c r="AD80" s="348">
        <v>0</v>
      </c>
      <c r="AE80" s="348">
        <v>0</v>
      </c>
      <c r="AF80" s="348">
        <v>0</v>
      </c>
      <c r="AG80" s="348">
        <v>0</v>
      </c>
      <c r="AH80" s="348">
        <v>0</v>
      </c>
      <c r="AI80" s="351">
        <f>ROUND(0.955*C80*(180+22),2)</f>
        <v>767916.84</v>
      </c>
      <c r="AJ80" s="351">
        <f>ROUND(0.03*(210+220+1200+180+22)*C80,2)</f>
        <v>218779.27</v>
      </c>
      <c r="AK80" s="351">
        <f>ROUND(0.015*(210+220+1200+180+22)*C80,2)</f>
        <v>109389.64</v>
      </c>
      <c r="AL80" s="351">
        <v>0</v>
      </c>
      <c r="AM80" s="350"/>
      <c r="AN80" s="350"/>
    </row>
    <row r="81" spans="1:40" s="19" customFormat="1" ht="9" hidden="1" customHeight="1">
      <c r="A81" s="349">
        <v>66</v>
      </c>
      <c r="B81" s="112" t="s">
        <v>538</v>
      </c>
      <c r="C81" s="117">
        <v>1781.2</v>
      </c>
      <c r="D81" s="113"/>
      <c r="E81" s="258">
        <f t="shared" si="20"/>
        <v>386392.49000000022</v>
      </c>
      <c r="F81" s="258">
        <v>2037420</v>
      </c>
      <c r="G81" s="117">
        <f t="shared" ref="G81" si="21">ROUND(H81+U81+X81+Z81+AB81+AD81+AF81+AH81+AI81+AJ81+AK81+AL81,2)</f>
        <v>2423812.4900000002</v>
      </c>
      <c r="H81" s="348">
        <f t="shared" ref="H81:H144" si="22">I81+K81+M81+O81+Q81+S81</f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348">
        <v>0</v>
      </c>
      <c r="O81" s="348">
        <v>0</v>
      </c>
      <c r="P81" s="348">
        <v>0</v>
      </c>
      <c r="Q81" s="348">
        <v>0</v>
      </c>
      <c r="R81" s="348">
        <v>0</v>
      </c>
      <c r="S81" s="348">
        <v>0</v>
      </c>
      <c r="T81" s="44">
        <v>0</v>
      </c>
      <c r="U81" s="348">
        <v>0</v>
      </c>
      <c r="V81" s="113" t="s">
        <v>998</v>
      </c>
      <c r="W81" s="348">
        <v>630</v>
      </c>
      <c r="X81" s="348">
        <v>2335795.9500000002</v>
      </c>
      <c r="Y81" s="348">
        <v>0</v>
      </c>
      <c r="Z81" s="348">
        <v>0</v>
      </c>
      <c r="AA81" s="348">
        <v>0</v>
      </c>
      <c r="AB81" s="348">
        <v>0</v>
      </c>
      <c r="AC81" s="348">
        <v>0</v>
      </c>
      <c r="AD81" s="348">
        <v>0</v>
      </c>
      <c r="AE81" s="348">
        <v>0</v>
      </c>
      <c r="AF81" s="348">
        <v>0</v>
      </c>
      <c r="AG81" s="348">
        <v>0</v>
      </c>
      <c r="AH81" s="348">
        <v>0</v>
      </c>
      <c r="AI81" s="348">
        <v>0</v>
      </c>
      <c r="AJ81" s="351">
        <v>57455.24</v>
      </c>
      <c r="AK81" s="351">
        <v>30561.3</v>
      </c>
      <c r="AL81" s="351">
        <v>0</v>
      </c>
      <c r="AM81" s="434">
        <f t="shared" ref="AM81:AM86" si="23">G81/W81</f>
        <v>3847.321412698413</v>
      </c>
      <c r="AN81" s="350">
        <v>4621.88</v>
      </c>
    </row>
    <row r="82" spans="1:40" s="19" customFormat="1" ht="9" hidden="1" customHeight="1">
      <c r="A82" s="349">
        <v>67</v>
      </c>
      <c r="B82" s="112" t="s">
        <v>539</v>
      </c>
      <c r="C82" s="117">
        <v>1653.8</v>
      </c>
      <c r="D82" s="54"/>
      <c r="E82" s="258">
        <f t="shared" si="20"/>
        <v>-3298698.1100000003</v>
      </c>
      <c r="F82" s="225">
        <v>5099686.4000000004</v>
      </c>
      <c r="G82" s="117">
        <f>ROUND(H82+U82+X82+Z82+AB82+AD82+AF82+AH82+AI82+AJ82+AK82+AL82,2)</f>
        <v>1800988.29</v>
      </c>
      <c r="H82" s="348">
        <f t="shared" si="22"/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348">
        <v>0</v>
      </c>
      <c r="O82" s="348">
        <v>0</v>
      </c>
      <c r="P82" s="348">
        <v>0</v>
      </c>
      <c r="Q82" s="348">
        <v>0</v>
      </c>
      <c r="R82" s="348">
        <v>0</v>
      </c>
      <c r="S82" s="348">
        <v>0</v>
      </c>
      <c r="T82" s="44">
        <v>0</v>
      </c>
      <c r="U82" s="348">
        <v>0</v>
      </c>
      <c r="V82" s="54" t="s">
        <v>997</v>
      </c>
      <c r="W82" s="348">
        <v>583</v>
      </c>
      <c r="X82" s="348">
        <v>1610515</v>
      </c>
      <c r="Y82" s="348">
        <v>0</v>
      </c>
      <c r="Z82" s="348">
        <v>0</v>
      </c>
      <c r="AA82" s="348">
        <v>0</v>
      </c>
      <c r="AB82" s="348">
        <v>0</v>
      </c>
      <c r="AC82" s="348">
        <v>0</v>
      </c>
      <c r="AD82" s="348">
        <v>0</v>
      </c>
      <c r="AE82" s="348">
        <v>0</v>
      </c>
      <c r="AF82" s="348">
        <v>0</v>
      </c>
      <c r="AG82" s="348">
        <v>0</v>
      </c>
      <c r="AH82" s="348">
        <v>0</v>
      </c>
      <c r="AI82" s="348">
        <v>0</v>
      </c>
      <c r="AJ82" s="351">
        <v>113977.99</v>
      </c>
      <c r="AK82" s="351">
        <v>76495.3</v>
      </c>
      <c r="AL82" s="351">
        <v>0</v>
      </c>
      <c r="AM82" s="434">
        <f t="shared" si="23"/>
        <v>3089.1737392795885</v>
      </c>
      <c r="AN82" s="350">
        <v>4814.95</v>
      </c>
    </row>
    <row r="83" spans="1:40" s="19" customFormat="1" ht="9" hidden="1" customHeight="1">
      <c r="A83" s="349">
        <v>68</v>
      </c>
      <c r="B83" s="112" t="s">
        <v>540</v>
      </c>
      <c r="C83" s="117">
        <v>3742.7</v>
      </c>
      <c r="D83" s="54"/>
      <c r="E83" s="258">
        <f t="shared" si="20"/>
        <v>-692351.54999999981</v>
      </c>
      <c r="F83" s="225">
        <v>3477362</v>
      </c>
      <c r="G83" s="117">
        <f t="shared" ref="G83:G86" si="24">ROUND(H83+U83+X83+Z83+AB83+AD83+AF83+AH83+AI83+AJ83+AK83+AL83,2)</f>
        <v>2785010.45</v>
      </c>
      <c r="H83" s="348">
        <f t="shared" si="22"/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348">
        <v>0</v>
      </c>
      <c r="O83" s="348">
        <v>0</v>
      </c>
      <c r="P83" s="348">
        <v>0</v>
      </c>
      <c r="Q83" s="348">
        <v>0</v>
      </c>
      <c r="R83" s="348">
        <v>0</v>
      </c>
      <c r="S83" s="348">
        <v>0</v>
      </c>
      <c r="T83" s="44">
        <v>0</v>
      </c>
      <c r="U83" s="348">
        <v>0</v>
      </c>
      <c r="V83" s="54" t="s">
        <v>997</v>
      </c>
      <c r="W83" s="348">
        <v>962</v>
      </c>
      <c r="X83" s="348">
        <v>2655131</v>
      </c>
      <c r="Y83" s="348">
        <v>0</v>
      </c>
      <c r="Z83" s="348">
        <v>0</v>
      </c>
      <c r="AA83" s="348">
        <v>0</v>
      </c>
      <c r="AB83" s="348">
        <v>0</v>
      </c>
      <c r="AC83" s="348">
        <v>0</v>
      </c>
      <c r="AD83" s="348">
        <v>0</v>
      </c>
      <c r="AE83" s="348">
        <v>0</v>
      </c>
      <c r="AF83" s="348">
        <v>0</v>
      </c>
      <c r="AG83" s="348">
        <v>0</v>
      </c>
      <c r="AH83" s="348">
        <v>0</v>
      </c>
      <c r="AI83" s="348">
        <v>0</v>
      </c>
      <c r="AJ83" s="351">
        <v>77719.02</v>
      </c>
      <c r="AK83" s="351">
        <v>52160.43</v>
      </c>
      <c r="AL83" s="351">
        <v>0</v>
      </c>
      <c r="AM83" s="434">
        <f t="shared" si="23"/>
        <v>2895.0212577962579</v>
      </c>
      <c r="AN83" s="350">
        <v>4814.95</v>
      </c>
    </row>
    <row r="84" spans="1:40" s="19" customFormat="1" ht="9" hidden="1" customHeight="1">
      <c r="A84" s="349">
        <v>69</v>
      </c>
      <c r="B84" s="112" t="s">
        <v>541</v>
      </c>
      <c r="C84" s="117">
        <v>2779</v>
      </c>
      <c r="D84" s="54"/>
      <c r="E84" s="258">
        <f t="shared" si="20"/>
        <v>-534655.66999999993</v>
      </c>
      <c r="F84" s="225">
        <v>2688871</v>
      </c>
      <c r="G84" s="117">
        <f t="shared" si="24"/>
        <v>2154215.33</v>
      </c>
      <c r="H84" s="348">
        <f t="shared" si="22"/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348">
        <v>0</v>
      </c>
      <c r="O84" s="348">
        <v>0</v>
      </c>
      <c r="P84" s="348">
        <v>0</v>
      </c>
      <c r="Q84" s="348">
        <v>0</v>
      </c>
      <c r="R84" s="348">
        <v>0</v>
      </c>
      <c r="S84" s="348">
        <v>0</v>
      </c>
      <c r="T84" s="44">
        <v>0</v>
      </c>
      <c r="U84" s="348">
        <v>0</v>
      </c>
      <c r="V84" s="54" t="s">
        <v>997</v>
      </c>
      <c r="W84" s="348">
        <v>717</v>
      </c>
      <c r="X84" s="348">
        <v>2053786</v>
      </c>
      <c r="Y84" s="348">
        <v>0</v>
      </c>
      <c r="Z84" s="348">
        <v>0</v>
      </c>
      <c r="AA84" s="348">
        <v>0</v>
      </c>
      <c r="AB84" s="348">
        <v>0</v>
      </c>
      <c r="AC84" s="348">
        <v>0</v>
      </c>
      <c r="AD84" s="348">
        <v>0</v>
      </c>
      <c r="AE84" s="348">
        <v>0</v>
      </c>
      <c r="AF84" s="348">
        <v>0</v>
      </c>
      <c r="AG84" s="348">
        <v>0</v>
      </c>
      <c r="AH84" s="348">
        <v>0</v>
      </c>
      <c r="AI84" s="348">
        <v>0</v>
      </c>
      <c r="AJ84" s="351">
        <v>60096.26</v>
      </c>
      <c r="AK84" s="351">
        <v>40333.07</v>
      </c>
      <c r="AL84" s="351">
        <v>0</v>
      </c>
      <c r="AM84" s="434">
        <f t="shared" si="23"/>
        <v>3004.4844211994423</v>
      </c>
      <c r="AN84" s="350">
        <v>4814.95</v>
      </c>
    </row>
    <row r="85" spans="1:40" s="19" customFormat="1" ht="9" hidden="1" customHeight="1">
      <c r="A85" s="349">
        <v>70</v>
      </c>
      <c r="B85" s="112" t="s">
        <v>542</v>
      </c>
      <c r="C85" s="117">
        <v>3248</v>
      </c>
      <c r="D85" s="54"/>
      <c r="E85" s="258">
        <f t="shared" si="20"/>
        <v>-616330.16000000015</v>
      </c>
      <c r="F85" s="225">
        <v>3060612</v>
      </c>
      <c r="G85" s="117">
        <f t="shared" si="24"/>
        <v>2444281.84</v>
      </c>
      <c r="H85" s="348">
        <f t="shared" si="22"/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348">
        <v>0</v>
      </c>
      <c r="O85" s="348">
        <v>0</v>
      </c>
      <c r="P85" s="348">
        <v>0</v>
      </c>
      <c r="Q85" s="348">
        <v>0</v>
      </c>
      <c r="R85" s="348">
        <v>0</v>
      </c>
      <c r="S85" s="348">
        <v>0</v>
      </c>
      <c r="T85" s="44">
        <v>0</v>
      </c>
      <c r="U85" s="348">
        <v>0</v>
      </c>
      <c r="V85" s="54" t="s">
        <v>997</v>
      </c>
      <c r="W85" s="348">
        <v>816</v>
      </c>
      <c r="X85" s="348">
        <v>2329968</v>
      </c>
      <c r="Y85" s="348">
        <v>0</v>
      </c>
      <c r="Z85" s="348">
        <v>0</v>
      </c>
      <c r="AA85" s="348">
        <v>0</v>
      </c>
      <c r="AB85" s="348">
        <v>0</v>
      </c>
      <c r="AC85" s="348">
        <v>0</v>
      </c>
      <c r="AD85" s="348">
        <v>0</v>
      </c>
      <c r="AE85" s="348">
        <v>0</v>
      </c>
      <c r="AF85" s="348">
        <v>0</v>
      </c>
      <c r="AG85" s="348">
        <v>0</v>
      </c>
      <c r="AH85" s="348">
        <v>0</v>
      </c>
      <c r="AI85" s="348">
        <v>0</v>
      </c>
      <c r="AJ85" s="351">
        <v>68404.66</v>
      </c>
      <c r="AK85" s="351">
        <v>45909.18</v>
      </c>
      <c r="AL85" s="351">
        <v>0</v>
      </c>
      <c r="AM85" s="434">
        <f t="shared" si="23"/>
        <v>2995.4434313725487</v>
      </c>
      <c r="AN85" s="350">
        <v>4814.95</v>
      </c>
    </row>
    <row r="86" spans="1:40" s="19" customFormat="1" ht="9" hidden="1" customHeight="1">
      <c r="A86" s="349">
        <v>71</v>
      </c>
      <c r="B86" s="112" t="s">
        <v>543</v>
      </c>
      <c r="C86" s="117">
        <v>2005.6</v>
      </c>
      <c r="D86" s="54"/>
      <c r="E86" s="258">
        <f t="shared" si="20"/>
        <v>-437191.62999999989</v>
      </c>
      <c r="F86" s="225">
        <v>1348936.4</v>
      </c>
      <c r="G86" s="117">
        <f t="shared" si="24"/>
        <v>911744.77</v>
      </c>
      <c r="H86" s="348">
        <f t="shared" si="22"/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348">
        <v>0</v>
      </c>
      <c r="O86" s="348">
        <v>0</v>
      </c>
      <c r="P86" s="348">
        <v>0</v>
      </c>
      <c r="Q86" s="348">
        <v>0</v>
      </c>
      <c r="R86" s="348">
        <v>0</v>
      </c>
      <c r="S86" s="348">
        <v>0</v>
      </c>
      <c r="T86" s="44">
        <v>0</v>
      </c>
      <c r="U86" s="348">
        <v>0</v>
      </c>
      <c r="V86" s="54" t="s">
        <v>997</v>
      </c>
      <c r="W86" s="348">
        <v>360</v>
      </c>
      <c r="X86" s="348">
        <v>861362</v>
      </c>
      <c r="Y86" s="348">
        <v>0</v>
      </c>
      <c r="Z86" s="348">
        <v>0</v>
      </c>
      <c r="AA86" s="348">
        <v>0</v>
      </c>
      <c r="AB86" s="348">
        <v>0</v>
      </c>
      <c r="AC86" s="348">
        <v>0</v>
      </c>
      <c r="AD86" s="348">
        <v>0</v>
      </c>
      <c r="AE86" s="348">
        <v>0</v>
      </c>
      <c r="AF86" s="348">
        <v>0</v>
      </c>
      <c r="AG86" s="348">
        <v>0</v>
      </c>
      <c r="AH86" s="348">
        <v>0</v>
      </c>
      <c r="AI86" s="348">
        <v>0</v>
      </c>
      <c r="AJ86" s="351">
        <v>30148.720000000001</v>
      </c>
      <c r="AK86" s="351">
        <v>20234.05</v>
      </c>
      <c r="AL86" s="351">
        <v>0</v>
      </c>
      <c r="AM86" s="434">
        <f t="shared" si="23"/>
        <v>2532.6243611111113</v>
      </c>
      <c r="AN86" s="350">
        <v>4814.95</v>
      </c>
    </row>
    <row r="87" spans="1:40" s="19" customFormat="1" ht="9" hidden="1" customHeight="1">
      <c r="A87" s="349">
        <v>72</v>
      </c>
      <c r="B87" s="112" t="s">
        <v>544</v>
      </c>
      <c r="C87" s="117">
        <v>1995.1</v>
      </c>
      <c r="D87" s="113"/>
      <c r="E87" s="258">
        <f t="shared" si="20"/>
        <v>207534.05000000005</v>
      </c>
      <c r="F87" s="258">
        <v>1963596.8</v>
      </c>
      <c r="G87" s="117">
        <f>ROUND(H87+U87+X87+Z87+AB87+AD87+AF87+AH87+AI87+AJ87+AK87+AL87,2)</f>
        <v>2171130.85</v>
      </c>
      <c r="H87" s="348">
        <f t="shared" si="22"/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348">
        <v>0</v>
      </c>
      <c r="O87" s="348">
        <v>0</v>
      </c>
      <c r="P87" s="348">
        <v>0</v>
      </c>
      <c r="Q87" s="348">
        <v>0</v>
      </c>
      <c r="R87" s="348">
        <v>0</v>
      </c>
      <c r="S87" s="348">
        <v>0</v>
      </c>
      <c r="T87" s="44">
        <v>1</v>
      </c>
      <c r="U87" s="348">
        <v>2082769</v>
      </c>
      <c r="V87" s="113"/>
      <c r="W87" s="348">
        <v>0</v>
      </c>
      <c r="X87" s="348">
        <v>0</v>
      </c>
      <c r="Y87" s="348">
        <v>0</v>
      </c>
      <c r="Z87" s="348">
        <v>0</v>
      </c>
      <c r="AA87" s="348">
        <v>0</v>
      </c>
      <c r="AB87" s="348">
        <v>0</v>
      </c>
      <c r="AC87" s="348">
        <v>0</v>
      </c>
      <c r="AD87" s="348">
        <v>0</v>
      </c>
      <c r="AE87" s="348">
        <v>0</v>
      </c>
      <c r="AF87" s="348">
        <v>0</v>
      </c>
      <c r="AG87" s="348">
        <v>0</v>
      </c>
      <c r="AH87" s="348">
        <v>0</v>
      </c>
      <c r="AI87" s="348">
        <v>0</v>
      </c>
      <c r="AJ87" s="351">
        <v>58907.9</v>
      </c>
      <c r="AK87" s="351">
        <v>29453.95</v>
      </c>
      <c r="AL87" s="351">
        <v>0</v>
      </c>
      <c r="AM87" s="434"/>
      <c r="AN87" s="350"/>
    </row>
    <row r="88" spans="1:40" s="19" customFormat="1" ht="9" hidden="1" customHeight="1">
      <c r="A88" s="349">
        <v>73</v>
      </c>
      <c r="B88" s="112" t="s">
        <v>545</v>
      </c>
      <c r="C88" s="117">
        <v>2012.6</v>
      </c>
      <c r="D88" s="54"/>
      <c r="E88" s="258">
        <f t="shared" si="20"/>
        <v>-421465.21000000008</v>
      </c>
      <c r="F88" s="225">
        <v>1332599.8</v>
      </c>
      <c r="G88" s="117">
        <f t="shared" ref="G88:G89" si="25">ROUND(H88+U88+X88+Z88+AB88+AD88+AF88+AH88+AI88+AJ88+AK88+AL88,2)</f>
        <v>911134.59</v>
      </c>
      <c r="H88" s="348">
        <f t="shared" si="22"/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348">
        <v>0</v>
      </c>
      <c r="O88" s="348">
        <v>0</v>
      </c>
      <c r="P88" s="348">
        <v>0</v>
      </c>
      <c r="Q88" s="348">
        <v>0</v>
      </c>
      <c r="R88" s="348">
        <v>0</v>
      </c>
      <c r="S88" s="348">
        <v>0</v>
      </c>
      <c r="T88" s="44">
        <v>0</v>
      </c>
      <c r="U88" s="348">
        <v>0</v>
      </c>
      <c r="V88" s="54" t="s">
        <v>997</v>
      </c>
      <c r="W88" s="348">
        <v>360</v>
      </c>
      <c r="X88" s="348">
        <v>861362</v>
      </c>
      <c r="Y88" s="348">
        <v>0</v>
      </c>
      <c r="Z88" s="348">
        <v>0</v>
      </c>
      <c r="AA88" s="348">
        <v>0</v>
      </c>
      <c r="AB88" s="348">
        <v>0</v>
      </c>
      <c r="AC88" s="348">
        <v>0</v>
      </c>
      <c r="AD88" s="348">
        <v>0</v>
      </c>
      <c r="AE88" s="348">
        <v>0</v>
      </c>
      <c r="AF88" s="348">
        <v>0</v>
      </c>
      <c r="AG88" s="348">
        <v>0</v>
      </c>
      <c r="AH88" s="348">
        <v>0</v>
      </c>
      <c r="AI88" s="348">
        <v>0</v>
      </c>
      <c r="AJ88" s="351">
        <v>29783.59</v>
      </c>
      <c r="AK88" s="351">
        <v>19989</v>
      </c>
      <c r="AL88" s="351">
        <v>0</v>
      </c>
      <c r="AM88" s="434">
        <f t="shared" ref="AM88:AM107" si="26">G88/W88</f>
        <v>2530.9294166666664</v>
      </c>
      <c r="AN88" s="350">
        <v>4814.95</v>
      </c>
    </row>
    <row r="89" spans="1:40" s="19" customFormat="1" ht="9" hidden="1" customHeight="1">
      <c r="A89" s="349">
        <v>74</v>
      </c>
      <c r="B89" s="112" t="s">
        <v>546</v>
      </c>
      <c r="C89" s="117">
        <v>2576.9</v>
      </c>
      <c r="D89" s="54"/>
      <c r="E89" s="258">
        <f t="shared" si="20"/>
        <v>261526.20000000019</v>
      </c>
      <c r="F89" s="225">
        <v>2800560</v>
      </c>
      <c r="G89" s="117">
        <f t="shared" si="25"/>
        <v>3062086.2</v>
      </c>
      <c r="H89" s="348">
        <f t="shared" si="22"/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348">
        <v>0</v>
      </c>
      <c r="O89" s="348">
        <v>0</v>
      </c>
      <c r="P89" s="348">
        <v>0</v>
      </c>
      <c r="Q89" s="348">
        <v>0</v>
      </c>
      <c r="R89" s="348">
        <v>0</v>
      </c>
      <c r="S89" s="348">
        <v>0</v>
      </c>
      <c r="T89" s="44">
        <v>0</v>
      </c>
      <c r="U89" s="348">
        <v>0</v>
      </c>
      <c r="V89" s="54" t="s">
        <v>997</v>
      </c>
      <c r="W89" s="348">
        <v>789.43</v>
      </c>
      <c r="X89" s="348">
        <v>2936061</v>
      </c>
      <c r="Y89" s="348">
        <v>0</v>
      </c>
      <c r="Z89" s="348">
        <v>0</v>
      </c>
      <c r="AA89" s="348">
        <v>0</v>
      </c>
      <c r="AB89" s="348">
        <v>0</v>
      </c>
      <c r="AC89" s="348">
        <v>0</v>
      </c>
      <c r="AD89" s="348">
        <v>0</v>
      </c>
      <c r="AE89" s="348">
        <v>0</v>
      </c>
      <c r="AF89" s="348">
        <v>0</v>
      </c>
      <c r="AG89" s="348">
        <v>0</v>
      </c>
      <c r="AH89" s="348">
        <v>0</v>
      </c>
      <c r="AI89" s="348">
        <v>0</v>
      </c>
      <c r="AJ89" s="351">
        <v>84016.8</v>
      </c>
      <c r="AK89" s="351">
        <v>42008.4</v>
      </c>
      <c r="AL89" s="351">
        <v>0</v>
      </c>
      <c r="AM89" s="434">
        <f t="shared" si="26"/>
        <v>3878.8571500956391</v>
      </c>
      <c r="AN89" s="350">
        <v>4814.95</v>
      </c>
    </row>
    <row r="90" spans="1:40" s="19" customFormat="1" ht="9" hidden="1" customHeight="1">
      <c r="A90" s="349">
        <v>75</v>
      </c>
      <c r="B90" s="112" t="s">
        <v>547</v>
      </c>
      <c r="C90" s="117">
        <v>3568.3</v>
      </c>
      <c r="D90" s="54"/>
      <c r="E90" s="258">
        <f t="shared" si="20"/>
        <v>550545.18000000017</v>
      </c>
      <c r="F90" s="225">
        <v>3253984</v>
      </c>
      <c r="G90" s="117">
        <f>ROUND(H90+U90+X90+Z90+AB90+AD90+AF90+AH90+AI90+AJ90+AK90+AL90,2)</f>
        <v>3804529.18</v>
      </c>
      <c r="H90" s="348">
        <f t="shared" si="22"/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348">
        <v>0</v>
      </c>
      <c r="O90" s="348">
        <v>0</v>
      </c>
      <c r="P90" s="348">
        <v>0</v>
      </c>
      <c r="Q90" s="348">
        <v>0</v>
      </c>
      <c r="R90" s="348">
        <v>0</v>
      </c>
      <c r="S90" s="348">
        <v>0</v>
      </c>
      <c r="T90" s="44">
        <v>0</v>
      </c>
      <c r="U90" s="348">
        <v>0</v>
      </c>
      <c r="V90" s="54" t="s">
        <v>997</v>
      </c>
      <c r="W90" s="348">
        <v>990.6</v>
      </c>
      <c r="X90" s="348">
        <v>3658588</v>
      </c>
      <c r="Y90" s="348">
        <v>0</v>
      </c>
      <c r="Z90" s="348">
        <v>0</v>
      </c>
      <c r="AA90" s="348">
        <v>0</v>
      </c>
      <c r="AB90" s="348">
        <v>0</v>
      </c>
      <c r="AC90" s="348">
        <v>0</v>
      </c>
      <c r="AD90" s="348">
        <v>0</v>
      </c>
      <c r="AE90" s="348">
        <v>0</v>
      </c>
      <c r="AF90" s="348">
        <v>0</v>
      </c>
      <c r="AG90" s="348">
        <v>0</v>
      </c>
      <c r="AH90" s="348">
        <v>0</v>
      </c>
      <c r="AI90" s="348">
        <v>0</v>
      </c>
      <c r="AJ90" s="351">
        <v>97131.42</v>
      </c>
      <c r="AK90" s="351">
        <v>48809.760000000002</v>
      </c>
      <c r="AL90" s="351">
        <v>0</v>
      </c>
      <c r="AM90" s="434">
        <f t="shared" si="26"/>
        <v>3840.6311124570966</v>
      </c>
      <c r="AN90" s="350">
        <v>4814.95</v>
      </c>
    </row>
    <row r="91" spans="1:40" s="19" customFormat="1" ht="9" hidden="1" customHeight="1">
      <c r="A91" s="349">
        <v>76</v>
      </c>
      <c r="B91" s="112" t="s">
        <v>548</v>
      </c>
      <c r="C91" s="117">
        <v>3946.7</v>
      </c>
      <c r="D91" s="113"/>
      <c r="E91" s="258">
        <f t="shared" si="20"/>
        <v>0</v>
      </c>
      <c r="F91" s="258">
        <v>4598748</v>
      </c>
      <c r="G91" s="117">
        <v>4598748</v>
      </c>
      <c r="H91" s="348">
        <f t="shared" si="22"/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348">
        <v>0</v>
      </c>
      <c r="O91" s="348">
        <v>0</v>
      </c>
      <c r="P91" s="348">
        <v>0</v>
      </c>
      <c r="Q91" s="348">
        <v>0</v>
      </c>
      <c r="R91" s="348">
        <v>0</v>
      </c>
      <c r="S91" s="348">
        <v>0</v>
      </c>
      <c r="T91" s="44">
        <v>0</v>
      </c>
      <c r="U91" s="348">
        <v>0</v>
      </c>
      <c r="V91" s="113" t="s">
        <v>998</v>
      </c>
      <c r="W91" s="348">
        <v>1422</v>
      </c>
      <c r="X91" s="348">
        <f t="shared" ref="X91" si="27">ROUND(G91/100*95.5,2)</f>
        <v>4391804.34</v>
      </c>
      <c r="Y91" s="348">
        <v>0</v>
      </c>
      <c r="Z91" s="348">
        <v>0</v>
      </c>
      <c r="AA91" s="348">
        <v>0</v>
      </c>
      <c r="AB91" s="348">
        <v>0</v>
      </c>
      <c r="AC91" s="348">
        <v>0</v>
      </c>
      <c r="AD91" s="348">
        <v>0</v>
      </c>
      <c r="AE91" s="348">
        <v>0</v>
      </c>
      <c r="AF91" s="348">
        <v>0</v>
      </c>
      <c r="AG91" s="348">
        <v>0</v>
      </c>
      <c r="AH91" s="348">
        <v>0</v>
      </c>
      <c r="AI91" s="348">
        <v>0</v>
      </c>
      <c r="AJ91" s="351">
        <f t="shared" ref="AJ91:AJ112" si="28">ROUND(X91/95.5*3,2)</f>
        <v>137962.44</v>
      </c>
      <c r="AK91" s="351">
        <f t="shared" ref="AK91" si="29">ROUND(X91/95.5*1.5,2)</f>
        <v>68981.22</v>
      </c>
      <c r="AL91" s="351">
        <v>0</v>
      </c>
      <c r="AM91" s="434">
        <f t="shared" si="26"/>
        <v>3234</v>
      </c>
      <c r="AN91" s="350">
        <v>4621.88</v>
      </c>
    </row>
    <row r="92" spans="1:40" s="19" customFormat="1" ht="9" hidden="1" customHeight="1">
      <c r="A92" s="349">
        <v>77</v>
      </c>
      <c r="B92" s="112" t="s">
        <v>549</v>
      </c>
      <c r="C92" s="117">
        <v>2555</v>
      </c>
      <c r="D92" s="54"/>
      <c r="E92" s="258">
        <f t="shared" si="20"/>
        <v>-1078350.96</v>
      </c>
      <c r="F92" s="225">
        <v>3690738</v>
      </c>
      <c r="G92" s="117">
        <f t="shared" ref="G92" si="30">ROUND(H92+U92+X92+Z92+AB92+AD92+AF92+AH92+AI92+AJ92+AK92+AL92,2)</f>
        <v>2612387.04</v>
      </c>
      <c r="H92" s="348">
        <f t="shared" si="22"/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348">
        <v>0</v>
      </c>
      <c r="O92" s="348">
        <v>0</v>
      </c>
      <c r="P92" s="348">
        <v>0</v>
      </c>
      <c r="Q92" s="348">
        <v>0</v>
      </c>
      <c r="R92" s="348">
        <v>0</v>
      </c>
      <c r="S92" s="348">
        <v>0</v>
      </c>
      <c r="T92" s="44">
        <v>0</v>
      </c>
      <c r="U92" s="348">
        <v>0</v>
      </c>
      <c r="V92" s="54" t="s">
        <v>997</v>
      </c>
      <c r="W92" s="348">
        <v>960</v>
      </c>
      <c r="X92" s="348">
        <v>2474538</v>
      </c>
      <c r="Y92" s="348">
        <v>0</v>
      </c>
      <c r="Z92" s="348">
        <v>0</v>
      </c>
      <c r="AA92" s="348">
        <v>0</v>
      </c>
      <c r="AB92" s="348">
        <v>0</v>
      </c>
      <c r="AC92" s="348">
        <v>0</v>
      </c>
      <c r="AD92" s="348">
        <v>0</v>
      </c>
      <c r="AE92" s="348">
        <v>0</v>
      </c>
      <c r="AF92" s="348">
        <v>0</v>
      </c>
      <c r="AG92" s="348">
        <v>0</v>
      </c>
      <c r="AH92" s="348">
        <v>0</v>
      </c>
      <c r="AI92" s="348">
        <v>0</v>
      </c>
      <c r="AJ92" s="351">
        <v>82487.97</v>
      </c>
      <c r="AK92" s="351">
        <v>55361.07</v>
      </c>
      <c r="AL92" s="351">
        <v>0</v>
      </c>
      <c r="AM92" s="434">
        <f t="shared" si="26"/>
        <v>2721.2365</v>
      </c>
      <c r="AN92" s="350">
        <v>4814.95</v>
      </c>
    </row>
    <row r="93" spans="1:40" s="19" customFormat="1" ht="9" hidden="1" customHeight="1">
      <c r="A93" s="349">
        <v>78</v>
      </c>
      <c r="B93" s="112" t="s">
        <v>550</v>
      </c>
      <c r="C93" s="117">
        <v>3905.7</v>
      </c>
      <c r="D93" s="54"/>
      <c r="E93" s="258">
        <f t="shared" si="20"/>
        <v>-244509.10000000009</v>
      </c>
      <c r="F93" s="225">
        <v>2890578</v>
      </c>
      <c r="G93" s="117">
        <f>ROUND(H93+U93+X93+Z93+AB93+AD93+AF93+AH93+AI93+AJ93+AK93+AL93,2)</f>
        <v>2646068.9</v>
      </c>
      <c r="H93" s="348">
        <f t="shared" si="22"/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348">
        <v>0</v>
      </c>
      <c r="O93" s="348">
        <v>0</v>
      </c>
      <c r="P93" s="348">
        <v>0</v>
      </c>
      <c r="Q93" s="348">
        <v>0</v>
      </c>
      <c r="R93" s="348">
        <v>0</v>
      </c>
      <c r="S93" s="348">
        <v>0</v>
      </c>
      <c r="T93" s="44">
        <v>0</v>
      </c>
      <c r="U93" s="348">
        <v>0</v>
      </c>
      <c r="V93" s="54" t="s">
        <v>997</v>
      </c>
      <c r="W93" s="348">
        <v>864.47</v>
      </c>
      <c r="X93" s="348">
        <v>2564121</v>
      </c>
      <c r="Y93" s="348">
        <v>0</v>
      </c>
      <c r="Z93" s="348">
        <v>0</v>
      </c>
      <c r="AA93" s="348">
        <v>0</v>
      </c>
      <c r="AB93" s="348">
        <v>0</v>
      </c>
      <c r="AC93" s="348">
        <v>0</v>
      </c>
      <c r="AD93" s="348">
        <v>0</v>
      </c>
      <c r="AE93" s="348">
        <v>0</v>
      </c>
      <c r="AF93" s="348">
        <v>0</v>
      </c>
      <c r="AG93" s="348">
        <v>0</v>
      </c>
      <c r="AH93" s="348">
        <v>0</v>
      </c>
      <c r="AI93" s="348">
        <v>0</v>
      </c>
      <c r="AJ93" s="351">
        <v>38589.230000000003</v>
      </c>
      <c r="AK93" s="351">
        <v>43358.67</v>
      </c>
      <c r="AL93" s="351">
        <v>0</v>
      </c>
      <c r="AM93" s="434">
        <f t="shared" si="26"/>
        <v>3060.9146644764996</v>
      </c>
      <c r="AN93" s="350">
        <v>4814.95</v>
      </c>
    </row>
    <row r="94" spans="1:40" s="19" customFormat="1" ht="9" hidden="1" customHeight="1">
      <c r="A94" s="349">
        <v>79</v>
      </c>
      <c r="B94" s="112" t="s">
        <v>551</v>
      </c>
      <c r="C94" s="117">
        <v>1413.7</v>
      </c>
      <c r="D94" s="54"/>
      <c r="E94" s="258">
        <f t="shared" si="20"/>
        <v>277220.95000000019</v>
      </c>
      <c r="F94" s="225">
        <v>2077082</v>
      </c>
      <c r="G94" s="117">
        <f t="shared" ref="G94:G105" si="31">ROUND(H94+U94+X94+Z94+AB94+AD94+AF94+AH94+AI94+AJ94+AK94+AL94,2)</f>
        <v>2354302.9500000002</v>
      </c>
      <c r="H94" s="348">
        <f t="shared" si="22"/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348">
        <v>0</v>
      </c>
      <c r="O94" s="348">
        <v>0</v>
      </c>
      <c r="P94" s="348">
        <v>0</v>
      </c>
      <c r="Q94" s="348">
        <v>0</v>
      </c>
      <c r="R94" s="348">
        <v>0</v>
      </c>
      <c r="S94" s="348">
        <v>0</v>
      </c>
      <c r="T94" s="44">
        <v>0</v>
      </c>
      <c r="U94" s="348">
        <v>0</v>
      </c>
      <c r="V94" s="54" t="s">
        <v>997</v>
      </c>
      <c r="W94" s="348">
        <v>593</v>
      </c>
      <c r="X94" s="348">
        <v>2284824.56</v>
      </c>
      <c r="Y94" s="348">
        <v>0</v>
      </c>
      <c r="Z94" s="348">
        <v>0</v>
      </c>
      <c r="AA94" s="348">
        <v>0</v>
      </c>
      <c r="AB94" s="348">
        <v>0</v>
      </c>
      <c r="AC94" s="348">
        <v>0</v>
      </c>
      <c r="AD94" s="348">
        <v>0</v>
      </c>
      <c r="AE94" s="348">
        <v>0</v>
      </c>
      <c r="AF94" s="348">
        <v>0</v>
      </c>
      <c r="AG94" s="348">
        <v>0</v>
      </c>
      <c r="AH94" s="348">
        <v>0</v>
      </c>
      <c r="AI94" s="348">
        <v>0</v>
      </c>
      <c r="AJ94" s="351">
        <v>38322.160000000003</v>
      </c>
      <c r="AK94" s="351">
        <v>31156.23</v>
      </c>
      <c r="AL94" s="351">
        <v>0</v>
      </c>
      <c r="AM94" s="434">
        <f t="shared" si="26"/>
        <v>3970.1567453625635</v>
      </c>
      <c r="AN94" s="350">
        <v>4814.95</v>
      </c>
    </row>
    <row r="95" spans="1:40" s="19" customFormat="1" ht="9" hidden="1" customHeight="1">
      <c r="A95" s="349">
        <v>80</v>
      </c>
      <c r="B95" s="112" t="s">
        <v>552</v>
      </c>
      <c r="C95" s="117">
        <v>5665.74</v>
      </c>
      <c r="D95" s="54"/>
      <c r="E95" s="258">
        <f t="shared" si="20"/>
        <v>824038.01999999955</v>
      </c>
      <c r="F95" s="225">
        <v>6001200</v>
      </c>
      <c r="G95" s="117">
        <f t="shared" si="31"/>
        <v>6825238.0199999996</v>
      </c>
      <c r="H95" s="348">
        <f t="shared" si="22"/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348">
        <v>0</v>
      </c>
      <c r="O95" s="348">
        <v>0</v>
      </c>
      <c r="P95" s="348">
        <v>0</v>
      </c>
      <c r="Q95" s="348">
        <v>0</v>
      </c>
      <c r="R95" s="348">
        <v>0</v>
      </c>
      <c r="S95" s="348">
        <v>0</v>
      </c>
      <c r="T95" s="44">
        <v>0</v>
      </c>
      <c r="U95" s="348">
        <v>0</v>
      </c>
      <c r="V95" s="54" t="s">
        <v>997</v>
      </c>
      <c r="W95" s="348">
        <v>1867</v>
      </c>
      <c r="X95" s="348">
        <v>6584890</v>
      </c>
      <c r="Y95" s="348">
        <v>0</v>
      </c>
      <c r="Z95" s="348">
        <v>0</v>
      </c>
      <c r="AA95" s="348">
        <v>0</v>
      </c>
      <c r="AB95" s="348">
        <v>0</v>
      </c>
      <c r="AC95" s="348">
        <v>0</v>
      </c>
      <c r="AD95" s="348">
        <v>0</v>
      </c>
      <c r="AE95" s="348">
        <v>0</v>
      </c>
      <c r="AF95" s="348">
        <v>0</v>
      </c>
      <c r="AG95" s="348">
        <v>0</v>
      </c>
      <c r="AH95" s="348">
        <v>0</v>
      </c>
      <c r="AI95" s="348">
        <v>0</v>
      </c>
      <c r="AJ95" s="351">
        <v>150330.01999999999</v>
      </c>
      <c r="AK95" s="351">
        <v>90018</v>
      </c>
      <c r="AL95" s="351">
        <v>0</v>
      </c>
      <c r="AM95" s="434">
        <f t="shared" si="26"/>
        <v>3655.7247027316548</v>
      </c>
      <c r="AN95" s="350">
        <v>4814.95</v>
      </c>
    </row>
    <row r="96" spans="1:40" s="19" customFormat="1" ht="9" hidden="1" customHeight="1">
      <c r="A96" s="349">
        <v>81</v>
      </c>
      <c r="B96" s="112" t="s">
        <v>553</v>
      </c>
      <c r="C96" s="117">
        <v>1494.3</v>
      </c>
      <c r="D96" s="54"/>
      <c r="E96" s="258">
        <f t="shared" si="20"/>
        <v>345774</v>
      </c>
      <c r="F96" s="225">
        <v>1500300</v>
      </c>
      <c r="G96" s="117">
        <f t="shared" si="31"/>
        <v>1846074</v>
      </c>
      <c r="H96" s="348">
        <f t="shared" si="22"/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348">
        <v>0</v>
      </c>
      <c r="O96" s="348">
        <v>0</v>
      </c>
      <c r="P96" s="348">
        <v>0</v>
      </c>
      <c r="Q96" s="348">
        <v>0</v>
      </c>
      <c r="R96" s="348">
        <v>0</v>
      </c>
      <c r="S96" s="348">
        <v>0</v>
      </c>
      <c r="T96" s="44">
        <v>0</v>
      </c>
      <c r="U96" s="348">
        <v>0</v>
      </c>
      <c r="V96" s="54" t="s">
        <v>997</v>
      </c>
      <c r="W96" s="348">
        <v>432.1</v>
      </c>
      <c r="X96" s="348">
        <v>1785987</v>
      </c>
      <c r="Y96" s="348">
        <v>0</v>
      </c>
      <c r="Z96" s="348">
        <v>0</v>
      </c>
      <c r="AA96" s="348">
        <v>0</v>
      </c>
      <c r="AB96" s="348">
        <v>0</v>
      </c>
      <c r="AC96" s="348">
        <v>0</v>
      </c>
      <c r="AD96" s="348">
        <v>0</v>
      </c>
      <c r="AE96" s="348">
        <v>0</v>
      </c>
      <c r="AF96" s="348">
        <v>0</v>
      </c>
      <c r="AG96" s="348">
        <v>0</v>
      </c>
      <c r="AH96" s="348">
        <v>0</v>
      </c>
      <c r="AI96" s="348">
        <v>0</v>
      </c>
      <c r="AJ96" s="351">
        <v>37582.5</v>
      </c>
      <c r="AK96" s="351">
        <v>22504.5</v>
      </c>
      <c r="AL96" s="351">
        <v>0</v>
      </c>
      <c r="AM96" s="434">
        <f t="shared" si="26"/>
        <v>4272.330479055774</v>
      </c>
      <c r="AN96" s="350">
        <v>4814.95</v>
      </c>
    </row>
    <row r="97" spans="1:40" s="19" customFormat="1" ht="9" hidden="1" customHeight="1">
      <c r="A97" s="349">
        <v>82</v>
      </c>
      <c r="B97" s="112" t="s">
        <v>554</v>
      </c>
      <c r="C97" s="117">
        <v>5585.9</v>
      </c>
      <c r="D97" s="54"/>
      <c r="E97" s="258">
        <f t="shared" si="20"/>
        <v>399005.45000000019</v>
      </c>
      <c r="F97" s="225">
        <v>5084350</v>
      </c>
      <c r="G97" s="117">
        <f t="shared" si="31"/>
        <v>5483355.4500000002</v>
      </c>
      <c r="H97" s="348">
        <f t="shared" si="22"/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348">
        <v>0</v>
      </c>
      <c r="O97" s="348">
        <v>0</v>
      </c>
      <c r="P97" s="348">
        <v>0</v>
      </c>
      <c r="Q97" s="348">
        <v>0</v>
      </c>
      <c r="R97" s="348">
        <v>0</v>
      </c>
      <c r="S97" s="348">
        <v>0</v>
      </c>
      <c r="T97" s="44">
        <v>0</v>
      </c>
      <c r="U97" s="348">
        <v>0</v>
      </c>
      <c r="V97" s="54" t="s">
        <v>997</v>
      </c>
      <c r="W97" s="348">
        <v>1482</v>
      </c>
      <c r="X97" s="348">
        <v>5313283.9400000004</v>
      </c>
      <c r="Y97" s="348">
        <v>0</v>
      </c>
      <c r="Z97" s="348">
        <v>0</v>
      </c>
      <c r="AA97" s="348">
        <v>0</v>
      </c>
      <c r="AB97" s="348">
        <v>0</v>
      </c>
      <c r="AC97" s="348">
        <v>0</v>
      </c>
      <c r="AD97" s="348">
        <v>0</v>
      </c>
      <c r="AE97" s="348">
        <v>0</v>
      </c>
      <c r="AF97" s="348">
        <v>0</v>
      </c>
      <c r="AG97" s="348">
        <v>0</v>
      </c>
      <c r="AH97" s="348">
        <v>0</v>
      </c>
      <c r="AI97" s="348">
        <v>0</v>
      </c>
      <c r="AJ97" s="351">
        <v>93806.26</v>
      </c>
      <c r="AK97" s="351">
        <v>76265.25</v>
      </c>
      <c r="AL97" s="351">
        <v>0</v>
      </c>
      <c r="AM97" s="434">
        <f t="shared" si="26"/>
        <v>3699.969939271255</v>
      </c>
      <c r="AN97" s="350">
        <v>4814.95</v>
      </c>
    </row>
    <row r="98" spans="1:40" s="19" customFormat="1" ht="9" hidden="1" customHeight="1">
      <c r="A98" s="349">
        <v>83</v>
      </c>
      <c r="B98" s="112" t="s">
        <v>555</v>
      </c>
      <c r="C98" s="117">
        <v>5312.7</v>
      </c>
      <c r="D98" s="54"/>
      <c r="E98" s="258">
        <f t="shared" si="20"/>
        <v>-668449.9299999997</v>
      </c>
      <c r="F98" s="225">
        <v>5961192</v>
      </c>
      <c r="G98" s="117">
        <f t="shared" si="31"/>
        <v>5292742.07</v>
      </c>
      <c r="H98" s="348">
        <f t="shared" si="22"/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348">
        <v>0</v>
      </c>
      <c r="O98" s="348">
        <v>0</v>
      </c>
      <c r="P98" s="348">
        <v>0</v>
      </c>
      <c r="Q98" s="348">
        <v>0</v>
      </c>
      <c r="R98" s="348">
        <v>0</v>
      </c>
      <c r="S98" s="348">
        <v>0</v>
      </c>
      <c r="T98" s="44">
        <v>0</v>
      </c>
      <c r="U98" s="348">
        <v>0</v>
      </c>
      <c r="V98" s="54" t="s">
        <v>997</v>
      </c>
      <c r="W98" s="348">
        <v>1488</v>
      </c>
      <c r="X98" s="348">
        <v>5093340.2</v>
      </c>
      <c r="Y98" s="348">
        <v>0</v>
      </c>
      <c r="Z98" s="348">
        <v>0</v>
      </c>
      <c r="AA98" s="348">
        <v>0</v>
      </c>
      <c r="AB98" s="348">
        <v>0</v>
      </c>
      <c r="AC98" s="348">
        <v>0</v>
      </c>
      <c r="AD98" s="348">
        <v>0</v>
      </c>
      <c r="AE98" s="348">
        <v>0</v>
      </c>
      <c r="AF98" s="348">
        <v>0</v>
      </c>
      <c r="AG98" s="348">
        <v>0</v>
      </c>
      <c r="AH98" s="348">
        <v>0</v>
      </c>
      <c r="AI98" s="348">
        <v>0</v>
      </c>
      <c r="AJ98" s="351">
        <v>109983.99</v>
      </c>
      <c r="AK98" s="351">
        <v>89417.88</v>
      </c>
      <c r="AL98" s="351">
        <v>0</v>
      </c>
      <c r="AM98" s="434">
        <f t="shared" si="26"/>
        <v>3556.9503158602151</v>
      </c>
      <c r="AN98" s="350">
        <v>4814.95</v>
      </c>
    </row>
    <row r="99" spans="1:40" s="19" customFormat="1" ht="9" hidden="1" customHeight="1">
      <c r="A99" s="349">
        <v>84</v>
      </c>
      <c r="B99" s="112" t="s">
        <v>556</v>
      </c>
      <c r="C99" s="117">
        <v>1983.3</v>
      </c>
      <c r="D99" s="113"/>
      <c r="E99" s="258">
        <f t="shared" si="20"/>
        <v>353023.81999999983</v>
      </c>
      <c r="F99" s="258">
        <v>2891196</v>
      </c>
      <c r="G99" s="117">
        <f t="shared" si="31"/>
        <v>3244219.82</v>
      </c>
      <c r="H99" s="348">
        <f t="shared" si="22"/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348">
        <v>0</v>
      </c>
      <c r="O99" s="348">
        <v>0</v>
      </c>
      <c r="P99" s="348">
        <v>0</v>
      </c>
      <c r="Q99" s="348">
        <v>0</v>
      </c>
      <c r="R99" s="348">
        <v>0</v>
      </c>
      <c r="S99" s="348">
        <v>0</v>
      </c>
      <c r="T99" s="44">
        <v>0</v>
      </c>
      <c r="U99" s="348">
        <v>0</v>
      </c>
      <c r="V99" s="113" t="s">
        <v>998</v>
      </c>
      <c r="W99" s="348">
        <v>895</v>
      </c>
      <c r="X99" s="348">
        <v>3119320.15</v>
      </c>
      <c r="Y99" s="348">
        <v>0</v>
      </c>
      <c r="Z99" s="348">
        <v>0</v>
      </c>
      <c r="AA99" s="348">
        <v>0</v>
      </c>
      <c r="AB99" s="348">
        <v>0</v>
      </c>
      <c r="AC99" s="348">
        <v>0</v>
      </c>
      <c r="AD99" s="348">
        <v>0</v>
      </c>
      <c r="AE99" s="348">
        <v>0</v>
      </c>
      <c r="AF99" s="348">
        <v>0</v>
      </c>
      <c r="AG99" s="348">
        <v>0</v>
      </c>
      <c r="AH99" s="348">
        <v>0</v>
      </c>
      <c r="AI99" s="348">
        <v>0</v>
      </c>
      <c r="AJ99" s="351">
        <v>81531.73</v>
      </c>
      <c r="AK99" s="351">
        <v>43367.94</v>
      </c>
      <c r="AL99" s="351">
        <v>0</v>
      </c>
      <c r="AM99" s="434">
        <f t="shared" si="26"/>
        <v>3624.8266145251396</v>
      </c>
      <c r="AN99" s="350">
        <v>4621.88</v>
      </c>
    </row>
    <row r="100" spans="1:40" s="19" customFormat="1" ht="9" hidden="1" customHeight="1">
      <c r="A100" s="349">
        <v>85</v>
      </c>
      <c r="B100" s="112" t="s">
        <v>557</v>
      </c>
      <c r="C100" s="117">
        <v>6737.3</v>
      </c>
      <c r="D100" s="113"/>
      <c r="E100" s="258">
        <f t="shared" si="20"/>
        <v>-10537175.25</v>
      </c>
      <c r="F100" s="258">
        <v>21150360</v>
      </c>
      <c r="G100" s="117">
        <f t="shared" si="31"/>
        <v>10613184.75</v>
      </c>
      <c r="H100" s="348">
        <f t="shared" si="22"/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348">
        <v>0</v>
      </c>
      <c r="O100" s="348">
        <v>0</v>
      </c>
      <c r="P100" s="348">
        <v>0</v>
      </c>
      <c r="Q100" s="348">
        <v>0</v>
      </c>
      <c r="R100" s="348">
        <v>0</v>
      </c>
      <c r="S100" s="348">
        <v>0</v>
      </c>
      <c r="T100" s="44">
        <v>0</v>
      </c>
      <c r="U100" s="348">
        <v>0</v>
      </c>
      <c r="V100" s="113" t="s">
        <v>998</v>
      </c>
      <c r="W100" s="348">
        <v>2459.0700000000002</v>
      </c>
      <c r="X100" s="348">
        <v>9825447</v>
      </c>
      <c r="Y100" s="348">
        <v>0</v>
      </c>
      <c r="Z100" s="348">
        <v>0</v>
      </c>
      <c r="AA100" s="348">
        <v>0</v>
      </c>
      <c r="AB100" s="348">
        <v>0</v>
      </c>
      <c r="AC100" s="348">
        <v>0</v>
      </c>
      <c r="AD100" s="348">
        <v>0</v>
      </c>
      <c r="AE100" s="348">
        <v>0</v>
      </c>
      <c r="AF100" s="348">
        <v>0</v>
      </c>
      <c r="AG100" s="348">
        <v>0</v>
      </c>
      <c r="AH100" s="348">
        <v>0</v>
      </c>
      <c r="AI100" s="348">
        <v>0</v>
      </c>
      <c r="AJ100" s="351">
        <v>470482.35</v>
      </c>
      <c r="AK100" s="351">
        <v>317255.40000000002</v>
      </c>
      <c r="AL100" s="351">
        <v>0</v>
      </c>
      <c r="AM100" s="434">
        <f t="shared" si="26"/>
        <v>4315.9343776305677</v>
      </c>
      <c r="AN100" s="350">
        <v>4621.88</v>
      </c>
    </row>
    <row r="101" spans="1:40" s="19" customFormat="1" ht="9" hidden="1" customHeight="1">
      <c r="A101" s="349">
        <v>86</v>
      </c>
      <c r="B101" s="112" t="s">
        <v>558</v>
      </c>
      <c r="C101" s="117">
        <v>3090.2</v>
      </c>
      <c r="D101" s="54"/>
      <c r="E101" s="258">
        <f t="shared" si="20"/>
        <v>272041.77</v>
      </c>
      <c r="F101" s="225">
        <v>3000600</v>
      </c>
      <c r="G101" s="117">
        <f t="shared" si="31"/>
        <v>3272641.77</v>
      </c>
      <c r="H101" s="348">
        <f t="shared" si="22"/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348">
        <v>0</v>
      </c>
      <c r="O101" s="348">
        <v>0</v>
      </c>
      <c r="P101" s="348">
        <v>0</v>
      </c>
      <c r="Q101" s="348">
        <v>0</v>
      </c>
      <c r="R101" s="348">
        <v>0</v>
      </c>
      <c r="S101" s="348">
        <v>0</v>
      </c>
      <c r="T101" s="44">
        <v>0</v>
      </c>
      <c r="U101" s="348">
        <v>0</v>
      </c>
      <c r="V101" s="54" t="s">
        <v>997</v>
      </c>
      <c r="W101" s="348">
        <v>900</v>
      </c>
      <c r="X101" s="348">
        <v>3138064.86</v>
      </c>
      <c r="Y101" s="348">
        <v>0</v>
      </c>
      <c r="Z101" s="348">
        <v>0</v>
      </c>
      <c r="AA101" s="348">
        <v>0</v>
      </c>
      <c r="AB101" s="348">
        <v>0</v>
      </c>
      <c r="AC101" s="348">
        <v>0</v>
      </c>
      <c r="AD101" s="348">
        <v>0</v>
      </c>
      <c r="AE101" s="348">
        <v>0</v>
      </c>
      <c r="AF101" s="348">
        <v>0</v>
      </c>
      <c r="AG101" s="348">
        <v>0</v>
      </c>
      <c r="AH101" s="348">
        <v>0</v>
      </c>
      <c r="AI101" s="348">
        <v>0</v>
      </c>
      <c r="AJ101" s="351">
        <v>89567.91</v>
      </c>
      <c r="AK101" s="351">
        <v>45009</v>
      </c>
      <c r="AL101" s="351">
        <v>0</v>
      </c>
      <c r="AM101" s="434">
        <f t="shared" si="26"/>
        <v>3636.2686333333331</v>
      </c>
      <c r="AN101" s="350">
        <v>4814.95</v>
      </c>
    </row>
    <row r="102" spans="1:40" s="19" customFormat="1" ht="9" hidden="1" customHeight="1">
      <c r="A102" s="349">
        <v>87</v>
      </c>
      <c r="B102" s="112" t="s">
        <v>559</v>
      </c>
      <c r="C102" s="117">
        <v>5550.1</v>
      </c>
      <c r="D102" s="54"/>
      <c r="E102" s="258">
        <f t="shared" si="20"/>
        <v>2983081.34</v>
      </c>
      <c r="F102" s="225">
        <v>2080416</v>
      </c>
      <c r="G102" s="117">
        <f t="shared" si="31"/>
        <v>5063497.34</v>
      </c>
      <c r="H102" s="348">
        <f t="shared" si="22"/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348">
        <v>0</v>
      </c>
      <c r="O102" s="348">
        <v>0</v>
      </c>
      <c r="P102" s="348">
        <v>0</v>
      </c>
      <c r="Q102" s="348">
        <v>0</v>
      </c>
      <c r="R102" s="348">
        <v>0</v>
      </c>
      <c r="S102" s="348">
        <v>0</v>
      </c>
      <c r="T102" s="44">
        <v>0</v>
      </c>
      <c r="U102" s="348">
        <v>0</v>
      </c>
      <c r="V102" s="54" t="s">
        <v>997</v>
      </c>
      <c r="W102" s="348">
        <v>1545</v>
      </c>
      <c r="X102" s="348">
        <v>4970190.68</v>
      </c>
      <c r="Y102" s="348">
        <v>0</v>
      </c>
      <c r="Z102" s="348">
        <v>0</v>
      </c>
      <c r="AA102" s="348">
        <v>0</v>
      </c>
      <c r="AB102" s="348">
        <v>0</v>
      </c>
      <c r="AC102" s="348">
        <v>0</v>
      </c>
      <c r="AD102" s="348">
        <v>0</v>
      </c>
      <c r="AE102" s="348">
        <v>0</v>
      </c>
      <c r="AF102" s="348">
        <v>0</v>
      </c>
      <c r="AG102" s="348">
        <v>0</v>
      </c>
      <c r="AH102" s="348">
        <v>0</v>
      </c>
      <c r="AI102" s="348">
        <v>0</v>
      </c>
      <c r="AJ102" s="351">
        <v>62100.42</v>
      </c>
      <c r="AK102" s="351">
        <v>31206.240000000002</v>
      </c>
      <c r="AL102" s="351">
        <v>0</v>
      </c>
      <c r="AM102" s="434">
        <f t="shared" si="26"/>
        <v>3277.3445566343039</v>
      </c>
      <c r="AN102" s="350">
        <v>4814.95</v>
      </c>
    </row>
    <row r="103" spans="1:40" s="19" customFormat="1" ht="9" hidden="1" customHeight="1">
      <c r="A103" s="349">
        <v>88</v>
      </c>
      <c r="B103" s="112" t="s">
        <v>560</v>
      </c>
      <c r="C103" s="117">
        <v>3647.4</v>
      </c>
      <c r="D103" s="54"/>
      <c r="E103" s="258">
        <f t="shared" si="20"/>
        <v>241477.2799999998</v>
      </c>
      <c r="F103" s="225">
        <v>3323998</v>
      </c>
      <c r="G103" s="117">
        <f t="shared" si="31"/>
        <v>3565475.28</v>
      </c>
      <c r="H103" s="348">
        <f t="shared" si="22"/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348">
        <v>0</v>
      </c>
      <c r="O103" s="348">
        <v>0</v>
      </c>
      <c r="P103" s="348">
        <v>0</v>
      </c>
      <c r="Q103" s="348">
        <v>0</v>
      </c>
      <c r="R103" s="348">
        <v>0</v>
      </c>
      <c r="S103" s="348">
        <v>0</v>
      </c>
      <c r="T103" s="44">
        <v>0</v>
      </c>
      <c r="U103" s="348">
        <v>0</v>
      </c>
      <c r="V103" s="54" t="s">
        <v>997</v>
      </c>
      <c r="W103" s="348">
        <v>1008.3</v>
      </c>
      <c r="X103" s="348">
        <v>3416393.97</v>
      </c>
      <c r="Y103" s="348">
        <v>0</v>
      </c>
      <c r="Z103" s="348">
        <v>0</v>
      </c>
      <c r="AA103" s="348">
        <v>0</v>
      </c>
      <c r="AB103" s="348">
        <v>0</v>
      </c>
      <c r="AC103" s="348">
        <v>0</v>
      </c>
      <c r="AD103" s="348">
        <v>0</v>
      </c>
      <c r="AE103" s="348">
        <v>0</v>
      </c>
      <c r="AF103" s="348">
        <v>0</v>
      </c>
      <c r="AG103" s="348">
        <v>0</v>
      </c>
      <c r="AH103" s="348">
        <v>0</v>
      </c>
      <c r="AI103" s="348">
        <v>0</v>
      </c>
      <c r="AJ103" s="351">
        <v>99221.34</v>
      </c>
      <c r="AK103" s="351">
        <v>49859.97</v>
      </c>
      <c r="AL103" s="351">
        <v>0</v>
      </c>
      <c r="AM103" s="434">
        <f t="shared" si="26"/>
        <v>3536.125438857483</v>
      </c>
      <c r="AN103" s="350">
        <v>4814.95</v>
      </c>
    </row>
    <row r="104" spans="1:40" s="19" customFormat="1" ht="9" hidden="1" customHeight="1">
      <c r="A104" s="349">
        <v>89</v>
      </c>
      <c r="B104" s="112" t="s">
        <v>561</v>
      </c>
      <c r="C104" s="117">
        <v>7184.9</v>
      </c>
      <c r="D104" s="54"/>
      <c r="E104" s="258">
        <f t="shared" si="20"/>
        <v>-411677.86000000034</v>
      </c>
      <c r="F104" s="225">
        <v>7068080</v>
      </c>
      <c r="G104" s="117">
        <f t="shared" si="31"/>
        <v>6656402.1399999997</v>
      </c>
      <c r="H104" s="348">
        <f t="shared" si="22"/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348">
        <v>0</v>
      </c>
      <c r="O104" s="348">
        <v>0</v>
      </c>
      <c r="P104" s="348">
        <v>0</v>
      </c>
      <c r="Q104" s="348">
        <v>0</v>
      </c>
      <c r="R104" s="348">
        <v>0</v>
      </c>
      <c r="S104" s="348">
        <v>0</v>
      </c>
      <c r="T104" s="44">
        <v>0</v>
      </c>
      <c r="U104" s="348">
        <v>0</v>
      </c>
      <c r="V104" s="54" t="s">
        <v>997</v>
      </c>
      <c r="W104" s="348">
        <v>1755</v>
      </c>
      <c r="X104" s="348">
        <v>6396650.2000000002</v>
      </c>
      <c r="Y104" s="348">
        <v>0</v>
      </c>
      <c r="Z104" s="348">
        <v>0</v>
      </c>
      <c r="AA104" s="348">
        <v>0</v>
      </c>
      <c r="AB104" s="348">
        <v>0</v>
      </c>
      <c r="AC104" s="348">
        <v>0</v>
      </c>
      <c r="AD104" s="348">
        <v>0</v>
      </c>
      <c r="AE104" s="348">
        <v>0</v>
      </c>
      <c r="AF104" s="348">
        <v>0</v>
      </c>
      <c r="AG104" s="348">
        <v>0</v>
      </c>
      <c r="AH104" s="348">
        <v>0</v>
      </c>
      <c r="AI104" s="348">
        <v>0</v>
      </c>
      <c r="AJ104" s="351">
        <v>153730.74</v>
      </c>
      <c r="AK104" s="351">
        <v>106021.2</v>
      </c>
      <c r="AL104" s="351">
        <v>0</v>
      </c>
      <c r="AM104" s="434">
        <f t="shared" si="26"/>
        <v>3792.8217321937318</v>
      </c>
      <c r="AN104" s="350">
        <v>4814.95</v>
      </c>
    </row>
    <row r="105" spans="1:40" s="19" customFormat="1" ht="9" hidden="1" customHeight="1">
      <c r="A105" s="349">
        <v>90</v>
      </c>
      <c r="B105" s="112" t="s">
        <v>562</v>
      </c>
      <c r="C105" s="117">
        <v>3562.4</v>
      </c>
      <c r="D105" s="54"/>
      <c r="E105" s="258">
        <f t="shared" si="20"/>
        <v>-1021135.31</v>
      </c>
      <c r="F105" s="225">
        <v>4247516</v>
      </c>
      <c r="G105" s="117">
        <f t="shared" si="31"/>
        <v>3226380.69</v>
      </c>
      <c r="H105" s="348">
        <f t="shared" si="22"/>
        <v>0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348">
        <v>0</v>
      </c>
      <c r="O105" s="348">
        <v>0</v>
      </c>
      <c r="P105" s="348">
        <v>0</v>
      </c>
      <c r="Q105" s="348">
        <v>0</v>
      </c>
      <c r="R105" s="348">
        <v>0</v>
      </c>
      <c r="S105" s="348">
        <v>0</v>
      </c>
      <c r="T105" s="44">
        <v>0</v>
      </c>
      <c r="U105" s="348">
        <v>0</v>
      </c>
      <c r="V105" s="54" t="s">
        <v>997</v>
      </c>
      <c r="W105" s="348">
        <v>961</v>
      </c>
      <c r="X105" s="348">
        <v>3070284.48</v>
      </c>
      <c r="Y105" s="348">
        <v>0</v>
      </c>
      <c r="Z105" s="348">
        <v>0</v>
      </c>
      <c r="AA105" s="348">
        <v>0</v>
      </c>
      <c r="AB105" s="348">
        <v>0</v>
      </c>
      <c r="AC105" s="348">
        <v>0</v>
      </c>
      <c r="AD105" s="348">
        <v>0</v>
      </c>
      <c r="AE105" s="348">
        <v>0</v>
      </c>
      <c r="AF105" s="348">
        <v>0</v>
      </c>
      <c r="AG105" s="348">
        <v>0</v>
      </c>
      <c r="AH105" s="348">
        <v>0</v>
      </c>
      <c r="AI105" s="348">
        <v>0</v>
      </c>
      <c r="AJ105" s="351">
        <v>92383.47</v>
      </c>
      <c r="AK105" s="351">
        <v>63712.74</v>
      </c>
      <c r="AL105" s="351">
        <v>0</v>
      </c>
      <c r="AM105" s="434">
        <f t="shared" si="26"/>
        <v>3357.3160145681582</v>
      </c>
      <c r="AN105" s="350">
        <v>4814.95</v>
      </c>
    </row>
    <row r="106" spans="1:40" s="19" customFormat="1" ht="9" hidden="1" customHeight="1">
      <c r="A106" s="349">
        <v>91</v>
      </c>
      <c r="B106" s="112" t="s">
        <v>563</v>
      </c>
      <c r="C106" s="117">
        <v>3043.3</v>
      </c>
      <c r="D106" s="54"/>
      <c r="E106" s="258">
        <f t="shared" si="20"/>
        <v>304647.27</v>
      </c>
      <c r="F106" s="225">
        <v>3040608</v>
      </c>
      <c r="G106" s="117">
        <f>ROUND(H106+U106+X106+Z106+AB106+AD106+AF106+AH106+AI106+AJ106+AK106+AL106,2)</f>
        <v>3345255.27</v>
      </c>
      <c r="H106" s="348">
        <f t="shared" si="22"/>
        <v>0</v>
      </c>
      <c r="I106" s="117">
        <v>0</v>
      </c>
      <c r="J106" s="117">
        <v>0</v>
      </c>
      <c r="K106" s="117">
        <v>0</v>
      </c>
      <c r="L106" s="117">
        <v>0</v>
      </c>
      <c r="M106" s="117">
        <v>0</v>
      </c>
      <c r="N106" s="348">
        <v>0</v>
      </c>
      <c r="O106" s="348">
        <v>0</v>
      </c>
      <c r="P106" s="348">
        <v>0</v>
      </c>
      <c r="Q106" s="348">
        <v>0</v>
      </c>
      <c r="R106" s="348">
        <v>0</v>
      </c>
      <c r="S106" s="348">
        <v>0</v>
      </c>
      <c r="T106" s="44">
        <v>0</v>
      </c>
      <c r="U106" s="348">
        <v>0</v>
      </c>
      <c r="V106" s="54" t="s">
        <v>997</v>
      </c>
      <c r="W106" s="348">
        <v>906</v>
      </c>
      <c r="X106" s="348">
        <v>3208884</v>
      </c>
      <c r="Y106" s="348">
        <v>0</v>
      </c>
      <c r="Z106" s="348">
        <v>0</v>
      </c>
      <c r="AA106" s="348">
        <v>0</v>
      </c>
      <c r="AB106" s="348">
        <v>0</v>
      </c>
      <c r="AC106" s="348">
        <v>0</v>
      </c>
      <c r="AD106" s="348">
        <v>0</v>
      </c>
      <c r="AE106" s="348">
        <v>0</v>
      </c>
      <c r="AF106" s="348">
        <v>0</v>
      </c>
      <c r="AG106" s="348">
        <v>0</v>
      </c>
      <c r="AH106" s="348">
        <v>0</v>
      </c>
      <c r="AI106" s="348">
        <v>0</v>
      </c>
      <c r="AJ106" s="351">
        <v>90762.15</v>
      </c>
      <c r="AK106" s="351">
        <v>45609.120000000003</v>
      </c>
      <c r="AL106" s="351">
        <v>0</v>
      </c>
      <c r="AM106" s="434">
        <f t="shared" si="26"/>
        <v>3692.3347350993376</v>
      </c>
      <c r="AN106" s="350">
        <v>4814.95</v>
      </c>
    </row>
    <row r="107" spans="1:40" s="19" customFormat="1" ht="9" hidden="1" customHeight="1">
      <c r="A107" s="349">
        <v>92</v>
      </c>
      <c r="B107" s="112" t="s">
        <v>564</v>
      </c>
      <c r="C107" s="117">
        <v>3239.8</v>
      </c>
      <c r="D107" s="54"/>
      <c r="E107" s="258">
        <f t="shared" si="20"/>
        <v>332037.56999999983</v>
      </c>
      <c r="F107" s="225">
        <v>3073948</v>
      </c>
      <c r="G107" s="117">
        <f>ROUND(H107+U107+X107+Z107+AB107+AD107+AF107+AH107+AI107+AJ107+AK107+AL107,2)</f>
        <v>3405985.57</v>
      </c>
      <c r="H107" s="348">
        <f t="shared" si="22"/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348">
        <v>0</v>
      </c>
      <c r="O107" s="348">
        <v>0</v>
      </c>
      <c r="P107" s="348">
        <v>0</v>
      </c>
      <c r="Q107" s="348">
        <v>0</v>
      </c>
      <c r="R107" s="348">
        <v>0</v>
      </c>
      <c r="S107" s="348">
        <v>0</v>
      </c>
      <c r="T107" s="44">
        <v>0</v>
      </c>
      <c r="U107" s="348">
        <v>0</v>
      </c>
      <c r="V107" s="54" t="s">
        <v>997</v>
      </c>
      <c r="W107" s="348">
        <v>915</v>
      </c>
      <c r="X107" s="348">
        <v>3268119</v>
      </c>
      <c r="Y107" s="348">
        <v>0</v>
      </c>
      <c r="Z107" s="348">
        <v>0</v>
      </c>
      <c r="AA107" s="348">
        <v>0</v>
      </c>
      <c r="AB107" s="348">
        <v>0</v>
      </c>
      <c r="AC107" s="348">
        <v>0</v>
      </c>
      <c r="AD107" s="348">
        <v>0</v>
      </c>
      <c r="AE107" s="348">
        <v>0</v>
      </c>
      <c r="AF107" s="348">
        <v>0</v>
      </c>
      <c r="AG107" s="348">
        <v>0</v>
      </c>
      <c r="AH107" s="348">
        <v>0</v>
      </c>
      <c r="AI107" s="348">
        <v>0</v>
      </c>
      <c r="AJ107" s="351">
        <v>91757.35</v>
      </c>
      <c r="AK107" s="351">
        <v>46109.22</v>
      </c>
      <c r="AL107" s="351">
        <v>0</v>
      </c>
      <c r="AM107" s="434">
        <f t="shared" si="26"/>
        <v>3722.3886010928959</v>
      </c>
      <c r="AN107" s="350">
        <v>4814.95</v>
      </c>
    </row>
    <row r="108" spans="1:40" s="19" customFormat="1" ht="9" hidden="1" customHeight="1">
      <c r="A108" s="349">
        <v>93</v>
      </c>
      <c r="B108" s="112" t="s">
        <v>565</v>
      </c>
      <c r="C108" s="117">
        <v>1307.76</v>
      </c>
      <c r="D108" s="113"/>
      <c r="E108" s="258">
        <f t="shared" si="20"/>
        <v>-1283382.0900000003</v>
      </c>
      <c r="F108" s="258">
        <v>3434125.45</v>
      </c>
      <c r="G108" s="117">
        <f>ROUND(H108+U108+X108+Z108+AB108+AD108+AF108+AH108+AI108+AJ108+AK108+AL108,2)</f>
        <v>2150743.36</v>
      </c>
      <c r="H108" s="348">
        <f>I108+K108+M108+O108+Q108+S108</f>
        <v>1643426.3399999999</v>
      </c>
      <c r="I108" s="117">
        <v>183453.42</v>
      </c>
      <c r="J108" s="117">
        <v>898</v>
      </c>
      <c r="K108" s="117">
        <v>1058468.26</v>
      </c>
      <c r="L108" s="117">
        <v>240.5</v>
      </c>
      <c r="M108" s="117">
        <f>52222.08+151713.78</f>
        <v>203935.86</v>
      </c>
      <c r="N108" s="348">
        <v>116</v>
      </c>
      <c r="O108" s="348">
        <v>93334.68</v>
      </c>
      <c r="P108" s="348">
        <v>0</v>
      </c>
      <c r="Q108" s="348">
        <v>0</v>
      </c>
      <c r="R108" s="348">
        <v>124</v>
      </c>
      <c r="S108" s="348">
        <v>104234.12</v>
      </c>
      <c r="T108" s="44">
        <v>0</v>
      </c>
      <c r="U108" s="348">
        <v>0</v>
      </c>
      <c r="V108" s="113"/>
      <c r="W108" s="348">
        <v>0</v>
      </c>
      <c r="X108" s="348">
        <v>0</v>
      </c>
      <c r="Y108" s="348">
        <v>0</v>
      </c>
      <c r="Z108" s="348">
        <v>0</v>
      </c>
      <c r="AA108" s="348">
        <v>0</v>
      </c>
      <c r="AB108" s="348">
        <v>0</v>
      </c>
      <c r="AC108" s="348">
        <v>0</v>
      </c>
      <c r="AD108" s="348">
        <v>0</v>
      </c>
      <c r="AE108" s="348">
        <v>0</v>
      </c>
      <c r="AF108" s="348">
        <v>0</v>
      </c>
      <c r="AG108" s="348">
        <v>0</v>
      </c>
      <c r="AH108" s="348">
        <v>0</v>
      </c>
      <c r="AI108" s="348">
        <f>23158.46+330138.04</f>
        <v>353296.5</v>
      </c>
      <c r="AJ108" s="351">
        <v>102508.64</v>
      </c>
      <c r="AK108" s="351">
        <v>51511.88</v>
      </c>
      <c r="AL108" s="351">
        <v>0</v>
      </c>
      <c r="AM108" s="434"/>
      <c r="AN108" s="350"/>
    </row>
    <row r="109" spans="1:40" s="19" customFormat="1" ht="9" hidden="1" customHeight="1">
      <c r="A109" s="349">
        <v>94</v>
      </c>
      <c r="B109" s="112" t="s">
        <v>566</v>
      </c>
      <c r="C109" s="117">
        <v>2918</v>
      </c>
      <c r="D109" s="54"/>
      <c r="E109" s="258">
        <f t="shared" si="20"/>
        <v>192893.43000000017</v>
      </c>
      <c r="F109" s="225">
        <v>2697206</v>
      </c>
      <c r="G109" s="117">
        <f t="shared" ref="G109:G111" si="32">ROUND(H109+U109+X109+Z109+AB109+AD109+AF109+AH109+AI109+AJ109+AK109+AL109,2)</f>
        <v>2890099.43</v>
      </c>
      <c r="H109" s="348">
        <f t="shared" si="22"/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348">
        <v>0</v>
      </c>
      <c r="O109" s="348">
        <v>0</v>
      </c>
      <c r="P109" s="348">
        <v>0</v>
      </c>
      <c r="Q109" s="348">
        <v>0</v>
      </c>
      <c r="R109" s="348">
        <v>0</v>
      </c>
      <c r="S109" s="348">
        <v>0</v>
      </c>
      <c r="T109" s="44">
        <v>0</v>
      </c>
      <c r="U109" s="348">
        <v>0</v>
      </c>
      <c r="V109" s="54" t="s">
        <v>997</v>
      </c>
      <c r="W109" s="348">
        <v>815.3</v>
      </c>
      <c r="X109" s="348">
        <v>2769129.74</v>
      </c>
      <c r="Y109" s="348">
        <v>0</v>
      </c>
      <c r="Z109" s="348">
        <v>0</v>
      </c>
      <c r="AA109" s="348">
        <v>0</v>
      </c>
      <c r="AB109" s="348">
        <v>0</v>
      </c>
      <c r="AC109" s="348">
        <v>0</v>
      </c>
      <c r="AD109" s="348">
        <v>0</v>
      </c>
      <c r="AE109" s="348">
        <v>0</v>
      </c>
      <c r="AF109" s="348">
        <v>0</v>
      </c>
      <c r="AG109" s="348">
        <v>0</v>
      </c>
      <c r="AH109" s="348">
        <v>0</v>
      </c>
      <c r="AI109" s="348">
        <v>0</v>
      </c>
      <c r="AJ109" s="351">
        <v>80511.600000000006</v>
      </c>
      <c r="AK109" s="351">
        <v>40458.089999999997</v>
      </c>
      <c r="AL109" s="351">
        <v>0</v>
      </c>
      <c r="AM109" s="434">
        <f t="shared" ref="AM109:AM120" si="33">G109/W109</f>
        <v>3544.8294247516255</v>
      </c>
      <c r="AN109" s="350">
        <v>4814.95</v>
      </c>
    </row>
    <row r="110" spans="1:40" s="19" customFormat="1" ht="9" hidden="1" customHeight="1">
      <c r="A110" s="349">
        <v>95</v>
      </c>
      <c r="B110" s="112" t="s">
        <v>567</v>
      </c>
      <c r="C110" s="117">
        <v>2457.8000000000002</v>
      </c>
      <c r="D110" s="113"/>
      <c r="E110" s="258">
        <f t="shared" si="20"/>
        <v>257717.95999999996</v>
      </c>
      <c r="F110" s="258">
        <v>2813580</v>
      </c>
      <c r="G110" s="117">
        <f t="shared" si="32"/>
        <v>3071297.96</v>
      </c>
      <c r="H110" s="348">
        <f t="shared" si="22"/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0</v>
      </c>
      <c r="N110" s="348">
        <v>0</v>
      </c>
      <c r="O110" s="348">
        <v>0</v>
      </c>
      <c r="P110" s="348">
        <v>0</v>
      </c>
      <c r="Q110" s="348">
        <v>0</v>
      </c>
      <c r="R110" s="348">
        <v>0</v>
      </c>
      <c r="S110" s="348">
        <v>0</v>
      </c>
      <c r="T110" s="44">
        <v>0</v>
      </c>
      <c r="U110" s="348">
        <v>0</v>
      </c>
      <c r="V110" s="113" t="s">
        <v>998</v>
      </c>
      <c r="W110" s="348">
        <v>877.2</v>
      </c>
      <c r="X110" s="348">
        <v>2945108.9</v>
      </c>
      <c r="Y110" s="348">
        <v>0</v>
      </c>
      <c r="Z110" s="348">
        <v>0</v>
      </c>
      <c r="AA110" s="348">
        <v>0</v>
      </c>
      <c r="AB110" s="348">
        <v>0</v>
      </c>
      <c r="AC110" s="348">
        <v>0</v>
      </c>
      <c r="AD110" s="348">
        <v>0</v>
      </c>
      <c r="AE110" s="348">
        <v>0</v>
      </c>
      <c r="AF110" s="348">
        <v>0</v>
      </c>
      <c r="AG110" s="348">
        <v>0</v>
      </c>
      <c r="AH110" s="348">
        <v>0</v>
      </c>
      <c r="AI110" s="348">
        <v>0</v>
      </c>
      <c r="AJ110" s="351">
        <v>83985.36</v>
      </c>
      <c r="AK110" s="351">
        <v>42203.7</v>
      </c>
      <c r="AL110" s="351">
        <v>0</v>
      </c>
      <c r="AM110" s="434">
        <f t="shared" si="33"/>
        <v>3501.2516643866848</v>
      </c>
      <c r="AN110" s="350">
        <v>4621.88</v>
      </c>
    </row>
    <row r="111" spans="1:40" s="19" customFormat="1" ht="9" hidden="1" customHeight="1">
      <c r="A111" s="349">
        <v>96</v>
      </c>
      <c r="B111" s="112" t="s">
        <v>568</v>
      </c>
      <c r="C111" s="117">
        <v>3033.4</v>
      </c>
      <c r="D111" s="113"/>
      <c r="E111" s="258">
        <f t="shared" si="20"/>
        <v>-4818.0699999998324</v>
      </c>
      <c r="F111" s="258">
        <v>3719100</v>
      </c>
      <c r="G111" s="117">
        <f t="shared" si="32"/>
        <v>3714281.93</v>
      </c>
      <c r="H111" s="348">
        <f t="shared" si="22"/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348">
        <v>0</v>
      </c>
      <c r="O111" s="348">
        <v>0</v>
      </c>
      <c r="P111" s="348">
        <v>0</v>
      </c>
      <c r="Q111" s="348">
        <v>0</v>
      </c>
      <c r="R111" s="348">
        <v>0</v>
      </c>
      <c r="S111" s="348">
        <v>0</v>
      </c>
      <c r="T111" s="44">
        <v>0</v>
      </c>
      <c r="U111" s="348">
        <v>0</v>
      </c>
      <c r="V111" s="113" t="s">
        <v>998</v>
      </c>
      <c r="W111" s="348">
        <v>1091</v>
      </c>
      <c r="X111" s="348">
        <v>3565332</v>
      </c>
      <c r="Y111" s="348">
        <v>0</v>
      </c>
      <c r="Z111" s="348">
        <v>0</v>
      </c>
      <c r="AA111" s="348">
        <v>0</v>
      </c>
      <c r="AB111" s="348">
        <v>0</v>
      </c>
      <c r="AC111" s="348">
        <v>0</v>
      </c>
      <c r="AD111" s="348">
        <v>0</v>
      </c>
      <c r="AE111" s="348">
        <v>0</v>
      </c>
      <c r="AF111" s="348">
        <v>0</v>
      </c>
      <c r="AG111" s="348">
        <v>0</v>
      </c>
      <c r="AH111" s="348">
        <v>0</v>
      </c>
      <c r="AI111" s="348">
        <v>0</v>
      </c>
      <c r="AJ111" s="351">
        <v>93163.43</v>
      </c>
      <c r="AK111" s="351">
        <v>55786.5</v>
      </c>
      <c r="AL111" s="351">
        <v>0</v>
      </c>
      <c r="AM111" s="434">
        <f t="shared" si="33"/>
        <v>3404.4747296058663</v>
      </c>
      <c r="AN111" s="350">
        <v>4621.88</v>
      </c>
    </row>
    <row r="112" spans="1:40" s="19" customFormat="1" ht="9" hidden="1" customHeight="1">
      <c r="A112" s="349">
        <v>97</v>
      </c>
      <c r="B112" s="112" t="s">
        <v>569</v>
      </c>
      <c r="C112" s="117">
        <v>2174.4</v>
      </c>
      <c r="D112" s="54"/>
      <c r="E112" s="258">
        <f t="shared" ref="E112:E143" si="34">G112-F112</f>
        <v>0</v>
      </c>
      <c r="F112" s="225">
        <v>3844102</v>
      </c>
      <c r="G112" s="117">
        <v>3844102</v>
      </c>
      <c r="H112" s="348">
        <f t="shared" si="22"/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348">
        <v>0</v>
      </c>
      <c r="O112" s="348">
        <v>0</v>
      </c>
      <c r="P112" s="348">
        <v>0</v>
      </c>
      <c r="Q112" s="348">
        <v>0</v>
      </c>
      <c r="R112" s="348">
        <v>0</v>
      </c>
      <c r="S112" s="348">
        <v>0</v>
      </c>
      <c r="T112" s="44">
        <v>0</v>
      </c>
      <c r="U112" s="348">
        <v>0</v>
      </c>
      <c r="V112" s="54" t="s">
        <v>997</v>
      </c>
      <c r="W112" s="348">
        <v>1153</v>
      </c>
      <c r="X112" s="348">
        <f t="shared" ref="X112" si="35">ROUND(G112/100*95.5,2)</f>
        <v>3671117.41</v>
      </c>
      <c r="Y112" s="348">
        <v>0</v>
      </c>
      <c r="Z112" s="348">
        <v>0</v>
      </c>
      <c r="AA112" s="348">
        <v>0</v>
      </c>
      <c r="AB112" s="348">
        <v>0</v>
      </c>
      <c r="AC112" s="348">
        <v>0</v>
      </c>
      <c r="AD112" s="348">
        <v>0</v>
      </c>
      <c r="AE112" s="348">
        <v>0</v>
      </c>
      <c r="AF112" s="348">
        <v>0</v>
      </c>
      <c r="AG112" s="348">
        <v>0</v>
      </c>
      <c r="AH112" s="348">
        <v>0</v>
      </c>
      <c r="AI112" s="348">
        <v>0</v>
      </c>
      <c r="AJ112" s="351">
        <f t="shared" si="28"/>
        <v>115323.06</v>
      </c>
      <c r="AK112" s="351">
        <f t="shared" ref="AK112" si="36">ROUND(X112/95.5*1.5,2)</f>
        <v>57661.53</v>
      </c>
      <c r="AL112" s="351">
        <v>0</v>
      </c>
      <c r="AM112" s="434">
        <f t="shared" si="33"/>
        <v>3334</v>
      </c>
      <c r="AN112" s="350">
        <v>4814.95</v>
      </c>
    </row>
    <row r="113" spans="1:40" s="19" customFormat="1" ht="9" hidden="1" customHeight="1">
      <c r="A113" s="349">
        <v>98</v>
      </c>
      <c r="B113" s="112" t="s">
        <v>570</v>
      </c>
      <c r="C113" s="117">
        <v>5672.1</v>
      </c>
      <c r="D113" s="54"/>
      <c r="E113" s="258">
        <f t="shared" si="34"/>
        <v>-296703.75</v>
      </c>
      <c r="F113" s="225">
        <v>5764486</v>
      </c>
      <c r="G113" s="117">
        <f t="shared" ref="G113:G119" si="37">ROUND(H113+U113+X113+Z113+AB113+AD113+AF113+AH113+AI113+AJ113+AK113+AL113,2)</f>
        <v>5467782.25</v>
      </c>
      <c r="H113" s="348">
        <f t="shared" si="22"/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348">
        <v>0</v>
      </c>
      <c r="O113" s="348">
        <v>0</v>
      </c>
      <c r="P113" s="348">
        <v>0</v>
      </c>
      <c r="Q113" s="348">
        <v>0</v>
      </c>
      <c r="R113" s="348">
        <v>0</v>
      </c>
      <c r="S113" s="348">
        <v>0</v>
      </c>
      <c r="T113" s="44">
        <v>0</v>
      </c>
      <c r="U113" s="348">
        <v>0</v>
      </c>
      <c r="V113" s="54" t="s">
        <v>997</v>
      </c>
      <c r="W113" s="348">
        <v>1600</v>
      </c>
      <c r="X113" s="348">
        <v>5252487.01</v>
      </c>
      <c r="Y113" s="348">
        <v>0</v>
      </c>
      <c r="Z113" s="348">
        <v>0</v>
      </c>
      <c r="AA113" s="348">
        <v>0</v>
      </c>
      <c r="AB113" s="348">
        <v>0</v>
      </c>
      <c r="AC113" s="348">
        <v>0</v>
      </c>
      <c r="AD113" s="348">
        <v>0</v>
      </c>
      <c r="AE113" s="348">
        <v>0</v>
      </c>
      <c r="AF113" s="348">
        <v>0</v>
      </c>
      <c r="AG113" s="348">
        <v>0</v>
      </c>
      <c r="AH113" s="348">
        <v>0</v>
      </c>
      <c r="AI113" s="348">
        <v>0</v>
      </c>
      <c r="AJ113" s="351">
        <v>128827.95</v>
      </c>
      <c r="AK113" s="351">
        <v>86467.29</v>
      </c>
      <c r="AL113" s="351">
        <v>0</v>
      </c>
      <c r="AM113" s="434">
        <f t="shared" si="33"/>
        <v>3417.3639062500001</v>
      </c>
      <c r="AN113" s="350">
        <v>4814.95</v>
      </c>
    </row>
    <row r="114" spans="1:40" s="19" customFormat="1" ht="9" hidden="1" customHeight="1">
      <c r="A114" s="349">
        <v>99</v>
      </c>
      <c r="B114" s="112" t="s">
        <v>571</v>
      </c>
      <c r="C114" s="117">
        <v>5603.5</v>
      </c>
      <c r="D114" s="54"/>
      <c r="E114" s="258">
        <f t="shared" si="34"/>
        <v>446035.5</v>
      </c>
      <c r="F114" s="225">
        <v>5157698</v>
      </c>
      <c r="G114" s="117">
        <f t="shared" si="37"/>
        <v>5603733.5</v>
      </c>
      <c r="H114" s="348">
        <f t="shared" si="22"/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348">
        <v>0</v>
      </c>
      <c r="O114" s="348">
        <v>0</v>
      </c>
      <c r="P114" s="348">
        <v>0</v>
      </c>
      <c r="Q114" s="348">
        <v>0</v>
      </c>
      <c r="R114" s="348">
        <v>0</v>
      </c>
      <c r="S114" s="348">
        <v>0</v>
      </c>
      <c r="T114" s="44">
        <v>0</v>
      </c>
      <c r="U114" s="348">
        <v>0</v>
      </c>
      <c r="V114" s="54" t="s">
        <v>997</v>
      </c>
      <c r="W114" s="348">
        <v>1506</v>
      </c>
      <c r="X114" s="348">
        <v>5414188.0999999996</v>
      </c>
      <c r="Y114" s="348">
        <v>0</v>
      </c>
      <c r="Z114" s="348">
        <v>0</v>
      </c>
      <c r="AA114" s="348">
        <v>0</v>
      </c>
      <c r="AB114" s="348">
        <v>0</v>
      </c>
      <c r="AC114" s="348">
        <v>0</v>
      </c>
      <c r="AD114" s="348">
        <v>0</v>
      </c>
      <c r="AE114" s="348">
        <v>0</v>
      </c>
      <c r="AF114" s="348">
        <v>0</v>
      </c>
      <c r="AG114" s="348">
        <v>0</v>
      </c>
      <c r="AH114" s="348">
        <v>0</v>
      </c>
      <c r="AI114" s="348">
        <v>0</v>
      </c>
      <c r="AJ114" s="351">
        <v>112179.93</v>
      </c>
      <c r="AK114" s="351">
        <v>77365.47</v>
      </c>
      <c r="AL114" s="351">
        <v>0</v>
      </c>
      <c r="AM114" s="434">
        <f t="shared" si="33"/>
        <v>3720.9385790172641</v>
      </c>
      <c r="AN114" s="350">
        <v>4814.95</v>
      </c>
    </row>
    <row r="115" spans="1:40" s="19" customFormat="1" ht="9" hidden="1" customHeight="1">
      <c r="A115" s="349">
        <v>100</v>
      </c>
      <c r="B115" s="112" t="s">
        <v>572</v>
      </c>
      <c r="C115" s="117">
        <v>5464.8</v>
      </c>
      <c r="D115" s="54"/>
      <c r="E115" s="258">
        <f t="shared" si="34"/>
        <v>235856.13999999966</v>
      </c>
      <c r="F115" s="225">
        <v>5104354</v>
      </c>
      <c r="G115" s="117">
        <f t="shared" si="37"/>
        <v>5340210.1399999997</v>
      </c>
      <c r="H115" s="348">
        <f t="shared" si="22"/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348">
        <v>0</v>
      </c>
      <c r="O115" s="348">
        <v>0</v>
      </c>
      <c r="P115" s="348">
        <v>0</v>
      </c>
      <c r="Q115" s="348">
        <v>0</v>
      </c>
      <c r="R115" s="348">
        <v>0</v>
      </c>
      <c r="S115" s="348">
        <v>0</v>
      </c>
      <c r="T115" s="44">
        <v>0</v>
      </c>
      <c r="U115" s="348">
        <v>0</v>
      </c>
      <c r="V115" s="54" t="s">
        <v>997</v>
      </c>
      <c r="W115" s="348">
        <v>1544.4</v>
      </c>
      <c r="X115" s="348">
        <v>5111279.8600000003</v>
      </c>
      <c r="Y115" s="348">
        <v>0</v>
      </c>
      <c r="Z115" s="348">
        <v>0</v>
      </c>
      <c r="AA115" s="348">
        <v>0</v>
      </c>
      <c r="AB115" s="348">
        <v>0</v>
      </c>
      <c r="AC115" s="348">
        <v>0</v>
      </c>
      <c r="AD115" s="348">
        <v>0</v>
      </c>
      <c r="AE115" s="348">
        <v>0</v>
      </c>
      <c r="AF115" s="348">
        <v>0</v>
      </c>
      <c r="AG115" s="348">
        <v>0</v>
      </c>
      <c r="AH115" s="348">
        <v>0</v>
      </c>
      <c r="AI115" s="348">
        <v>0</v>
      </c>
      <c r="AJ115" s="351">
        <v>152364.97</v>
      </c>
      <c r="AK115" s="351">
        <v>76565.31</v>
      </c>
      <c r="AL115" s="351">
        <v>0</v>
      </c>
      <c r="AM115" s="434">
        <f t="shared" si="33"/>
        <v>3457.7895234395232</v>
      </c>
      <c r="AN115" s="350">
        <v>4814.95</v>
      </c>
    </row>
    <row r="116" spans="1:40" s="19" customFormat="1" ht="9" hidden="1" customHeight="1">
      <c r="A116" s="349">
        <v>101</v>
      </c>
      <c r="B116" s="112" t="s">
        <v>573</v>
      </c>
      <c r="C116" s="117">
        <v>2024.9</v>
      </c>
      <c r="D116" s="54"/>
      <c r="E116" s="258">
        <f t="shared" si="34"/>
        <v>-13905.679999999935</v>
      </c>
      <c r="F116" s="225">
        <v>1220244</v>
      </c>
      <c r="G116" s="117">
        <f t="shared" si="37"/>
        <v>1206338.32</v>
      </c>
      <c r="H116" s="348">
        <f t="shared" si="22"/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348">
        <v>0</v>
      </c>
      <c r="O116" s="348">
        <v>0</v>
      </c>
      <c r="P116" s="348">
        <v>0</v>
      </c>
      <c r="Q116" s="348">
        <v>0</v>
      </c>
      <c r="R116" s="348">
        <v>0</v>
      </c>
      <c r="S116" s="348">
        <v>0</v>
      </c>
      <c r="T116" s="44">
        <v>0</v>
      </c>
      <c r="U116" s="348">
        <v>0</v>
      </c>
      <c r="V116" s="54" t="s">
        <v>997</v>
      </c>
      <c r="W116" s="348">
        <v>295</v>
      </c>
      <c r="X116" s="348">
        <v>1151610.3799999999</v>
      </c>
      <c r="Y116" s="348">
        <v>0</v>
      </c>
      <c r="Z116" s="348">
        <v>0</v>
      </c>
      <c r="AA116" s="348">
        <v>0</v>
      </c>
      <c r="AB116" s="348">
        <v>0</v>
      </c>
      <c r="AC116" s="348">
        <v>0</v>
      </c>
      <c r="AD116" s="348">
        <v>0</v>
      </c>
      <c r="AE116" s="348">
        <v>0</v>
      </c>
      <c r="AF116" s="348">
        <v>0</v>
      </c>
      <c r="AG116" s="348">
        <v>0</v>
      </c>
      <c r="AH116" s="348">
        <v>0</v>
      </c>
      <c r="AI116" s="348">
        <v>0</v>
      </c>
      <c r="AJ116" s="351">
        <v>36424.28</v>
      </c>
      <c r="AK116" s="351">
        <v>18303.66</v>
      </c>
      <c r="AL116" s="351">
        <v>0</v>
      </c>
      <c r="AM116" s="434">
        <f t="shared" si="33"/>
        <v>4089.2824406779664</v>
      </c>
      <c r="AN116" s="350">
        <v>4814.95</v>
      </c>
    </row>
    <row r="117" spans="1:40" s="19" customFormat="1" ht="9" hidden="1" customHeight="1">
      <c r="A117" s="349">
        <v>102</v>
      </c>
      <c r="B117" s="112" t="s">
        <v>574</v>
      </c>
      <c r="C117" s="117">
        <v>10031.799999999999</v>
      </c>
      <c r="D117" s="54"/>
      <c r="E117" s="258">
        <f t="shared" si="34"/>
        <v>-439670.40000000037</v>
      </c>
      <c r="F117" s="225">
        <v>10129025.4</v>
      </c>
      <c r="G117" s="117">
        <f t="shared" si="37"/>
        <v>9689355</v>
      </c>
      <c r="H117" s="348">
        <f t="shared" si="22"/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348">
        <v>0</v>
      </c>
      <c r="O117" s="348">
        <v>0</v>
      </c>
      <c r="P117" s="348">
        <v>0</v>
      </c>
      <c r="Q117" s="348">
        <v>0</v>
      </c>
      <c r="R117" s="348">
        <v>0</v>
      </c>
      <c r="S117" s="348">
        <v>0</v>
      </c>
      <c r="T117" s="44">
        <v>0</v>
      </c>
      <c r="U117" s="348">
        <v>0</v>
      </c>
      <c r="V117" s="54" t="s">
        <v>997</v>
      </c>
      <c r="W117" s="348">
        <v>2282</v>
      </c>
      <c r="X117" s="348">
        <v>9235068.2200000007</v>
      </c>
      <c r="Y117" s="348">
        <v>0</v>
      </c>
      <c r="Z117" s="348">
        <v>0</v>
      </c>
      <c r="AA117" s="348">
        <v>0</v>
      </c>
      <c r="AB117" s="348">
        <v>0</v>
      </c>
      <c r="AC117" s="348">
        <v>0</v>
      </c>
      <c r="AD117" s="348">
        <v>0</v>
      </c>
      <c r="AE117" s="348">
        <v>0</v>
      </c>
      <c r="AF117" s="348">
        <v>0</v>
      </c>
      <c r="AG117" s="348">
        <v>0</v>
      </c>
      <c r="AH117" s="348">
        <v>0</v>
      </c>
      <c r="AI117" s="348">
        <v>0</v>
      </c>
      <c r="AJ117" s="351">
        <v>302351.40000000002</v>
      </c>
      <c r="AK117" s="351">
        <v>151935.38</v>
      </c>
      <c r="AL117" s="351">
        <v>0</v>
      </c>
      <c r="AM117" s="434">
        <f t="shared" si="33"/>
        <v>4245.9925503943905</v>
      </c>
      <c r="AN117" s="350">
        <v>4814.95</v>
      </c>
    </row>
    <row r="118" spans="1:40" s="19" customFormat="1" ht="9" hidden="1" customHeight="1">
      <c r="A118" s="349">
        <v>103</v>
      </c>
      <c r="B118" s="112" t="s">
        <v>575</v>
      </c>
      <c r="C118" s="117">
        <v>5535.1</v>
      </c>
      <c r="D118" s="54"/>
      <c r="E118" s="258">
        <f t="shared" si="34"/>
        <v>183223.41999999993</v>
      </c>
      <c r="F118" s="225">
        <v>5144362</v>
      </c>
      <c r="G118" s="117">
        <f t="shared" si="37"/>
        <v>5327585.42</v>
      </c>
      <c r="H118" s="348">
        <f t="shared" si="22"/>
        <v>0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348">
        <v>0</v>
      </c>
      <c r="O118" s="348">
        <v>0</v>
      </c>
      <c r="P118" s="348">
        <v>0</v>
      </c>
      <c r="Q118" s="348">
        <v>0</v>
      </c>
      <c r="R118" s="348">
        <v>0</v>
      </c>
      <c r="S118" s="348">
        <v>0</v>
      </c>
      <c r="T118" s="44">
        <v>0</v>
      </c>
      <c r="U118" s="348">
        <v>0</v>
      </c>
      <c r="V118" s="54" t="s">
        <v>998</v>
      </c>
      <c r="W118" s="348">
        <v>1543</v>
      </c>
      <c r="X118" s="348">
        <v>5135450.93</v>
      </c>
      <c r="Y118" s="348">
        <v>0</v>
      </c>
      <c r="Z118" s="348">
        <v>0</v>
      </c>
      <c r="AA118" s="348">
        <v>0</v>
      </c>
      <c r="AB118" s="348">
        <v>0</v>
      </c>
      <c r="AC118" s="348">
        <v>0</v>
      </c>
      <c r="AD118" s="348">
        <v>0</v>
      </c>
      <c r="AE118" s="348">
        <v>0</v>
      </c>
      <c r="AF118" s="348">
        <v>0</v>
      </c>
      <c r="AG118" s="348">
        <v>0</v>
      </c>
      <c r="AH118" s="348">
        <v>0</v>
      </c>
      <c r="AI118" s="348">
        <v>0</v>
      </c>
      <c r="AJ118" s="351">
        <v>114969.06</v>
      </c>
      <c r="AK118" s="351">
        <v>77165.429999999993</v>
      </c>
      <c r="AL118" s="351">
        <v>0</v>
      </c>
      <c r="AM118" s="434">
        <f t="shared" si="33"/>
        <v>3452.744925469864</v>
      </c>
      <c r="AN118" s="350">
        <v>4814.95</v>
      </c>
    </row>
    <row r="119" spans="1:40" s="19" customFormat="1" ht="9" hidden="1" customHeight="1">
      <c r="A119" s="349">
        <v>104</v>
      </c>
      <c r="B119" s="112" t="s">
        <v>576</v>
      </c>
      <c r="C119" s="117">
        <v>3217.9</v>
      </c>
      <c r="D119" s="54"/>
      <c r="E119" s="258">
        <f t="shared" si="34"/>
        <v>159932.18000000017</v>
      </c>
      <c r="F119" s="225">
        <v>3090618</v>
      </c>
      <c r="G119" s="117">
        <f t="shared" si="37"/>
        <v>3250550.18</v>
      </c>
      <c r="H119" s="348">
        <f t="shared" si="22"/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348">
        <v>0</v>
      </c>
      <c r="O119" s="348">
        <v>0</v>
      </c>
      <c r="P119" s="348">
        <v>0</v>
      </c>
      <c r="Q119" s="348">
        <v>0</v>
      </c>
      <c r="R119" s="348">
        <v>0</v>
      </c>
      <c r="S119" s="348">
        <v>0</v>
      </c>
      <c r="T119" s="44">
        <v>0</v>
      </c>
      <c r="U119" s="348">
        <v>0</v>
      </c>
      <c r="V119" s="54" t="s">
        <v>997</v>
      </c>
      <c r="W119" s="348">
        <v>924.1</v>
      </c>
      <c r="X119" s="348">
        <v>3135120.06</v>
      </c>
      <c r="Y119" s="348">
        <v>0</v>
      </c>
      <c r="Z119" s="348">
        <v>0</v>
      </c>
      <c r="AA119" s="348">
        <v>0</v>
      </c>
      <c r="AB119" s="348">
        <v>0</v>
      </c>
      <c r="AC119" s="348">
        <v>0</v>
      </c>
      <c r="AD119" s="348">
        <v>0</v>
      </c>
      <c r="AE119" s="348">
        <v>0</v>
      </c>
      <c r="AF119" s="348">
        <v>0</v>
      </c>
      <c r="AG119" s="348">
        <v>0</v>
      </c>
      <c r="AH119" s="348">
        <v>0</v>
      </c>
      <c r="AI119" s="348">
        <v>0</v>
      </c>
      <c r="AJ119" s="351">
        <v>69070.850000000006</v>
      </c>
      <c r="AK119" s="351">
        <v>46359.27</v>
      </c>
      <c r="AL119" s="351">
        <v>0</v>
      </c>
      <c r="AM119" s="434">
        <f t="shared" si="33"/>
        <v>3517.5307650687155</v>
      </c>
      <c r="AN119" s="350">
        <v>4814.95</v>
      </c>
    </row>
    <row r="120" spans="1:40" s="19" customFormat="1" ht="9" hidden="1" customHeight="1">
      <c r="A120" s="349">
        <v>105</v>
      </c>
      <c r="B120" s="112" t="s">
        <v>577</v>
      </c>
      <c r="C120" s="117">
        <v>5718.1</v>
      </c>
      <c r="D120" s="54"/>
      <c r="E120" s="258">
        <f t="shared" si="34"/>
        <v>-106447.66000000015</v>
      </c>
      <c r="F120" s="225">
        <v>4884310</v>
      </c>
      <c r="G120" s="117">
        <f>ROUND(H120+U120+X120+Z120+AB120+AD120+AF120+AH120+AI120+AJ120+AK120+AL120,2)</f>
        <v>4777862.34</v>
      </c>
      <c r="H120" s="348">
        <f t="shared" si="22"/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348">
        <v>0</v>
      </c>
      <c r="O120" s="348">
        <v>0</v>
      </c>
      <c r="P120" s="348">
        <v>0</v>
      </c>
      <c r="Q120" s="348">
        <v>0</v>
      </c>
      <c r="R120" s="348">
        <v>0</v>
      </c>
      <c r="S120" s="348">
        <v>0</v>
      </c>
      <c r="T120" s="44">
        <v>0</v>
      </c>
      <c r="U120" s="348">
        <v>0</v>
      </c>
      <c r="V120" s="54" t="s">
        <v>997</v>
      </c>
      <c r="W120" s="348">
        <v>1510</v>
      </c>
      <c r="X120" s="348">
        <v>4608621</v>
      </c>
      <c r="Y120" s="348">
        <v>0</v>
      </c>
      <c r="Z120" s="348">
        <v>0</v>
      </c>
      <c r="AA120" s="348">
        <v>0</v>
      </c>
      <c r="AB120" s="348">
        <v>0</v>
      </c>
      <c r="AC120" s="348">
        <v>0</v>
      </c>
      <c r="AD120" s="348">
        <v>0</v>
      </c>
      <c r="AE120" s="348">
        <v>0</v>
      </c>
      <c r="AF120" s="348">
        <v>0</v>
      </c>
      <c r="AG120" s="348">
        <v>0</v>
      </c>
      <c r="AH120" s="348">
        <v>0</v>
      </c>
      <c r="AI120" s="348">
        <v>0</v>
      </c>
      <c r="AJ120" s="351">
        <v>95976.69</v>
      </c>
      <c r="AK120" s="351">
        <v>73264.649999999994</v>
      </c>
      <c r="AL120" s="351">
        <v>0</v>
      </c>
      <c r="AM120" s="434">
        <f t="shared" si="33"/>
        <v>3164.1472450331125</v>
      </c>
      <c r="AN120" s="350">
        <v>4814.95</v>
      </c>
    </row>
    <row r="121" spans="1:40" s="19" customFormat="1" ht="9" hidden="1" customHeight="1">
      <c r="A121" s="349">
        <v>106</v>
      </c>
      <c r="B121" s="112" t="s">
        <v>578</v>
      </c>
      <c r="C121" s="117">
        <v>811.3</v>
      </c>
      <c r="D121" s="113"/>
      <c r="E121" s="258">
        <f t="shared" si="34"/>
        <v>0</v>
      </c>
      <c r="F121" s="258">
        <v>1502687.34</v>
      </c>
      <c r="G121" s="117">
        <f>AB121+AJ121+AK121</f>
        <v>1502687.34</v>
      </c>
      <c r="H121" s="348">
        <f t="shared" si="22"/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348">
        <v>0</v>
      </c>
      <c r="O121" s="348">
        <v>0</v>
      </c>
      <c r="P121" s="348">
        <v>0</v>
      </c>
      <c r="Q121" s="348">
        <v>0</v>
      </c>
      <c r="R121" s="348">
        <v>0</v>
      </c>
      <c r="S121" s="348">
        <v>0</v>
      </c>
      <c r="T121" s="44">
        <v>0</v>
      </c>
      <c r="U121" s="348">
        <v>0</v>
      </c>
      <c r="V121" s="113"/>
      <c r="W121" s="348">
        <v>0</v>
      </c>
      <c r="X121" s="348">
        <v>0</v>
      </c>
      <c r="Y121" s="348">
        <v>0</v>
      </c>
      <c r="Z121" s="348">
        <v>0</v>
      </c>
      <c r="AA121" s="351">
        <v>693</v>
      </c>
      <c r="AB121" s="351">
        <f>ROUND(0.955*AA121*2168.38,2)</f>
        <v>1435066.41</v>
      </c>
      <c r="AC121" s="348">
        <v>0</v>
      </c>
      <c r="AD121" s="348">
        <v>0</v>
      </c>
      <c r="AE121" s="348">
        <v>0</v>
      </c>
      <c r="AF121" s="348">
        <v>0</v>
      </c>
      <c r="AG121" s="348">
        <v>0</v>
      </c>
      <c r="AH121" s="348">
        <v>0</v>
      </c>
      <c r="AI121" s="348">
        <v>0</v>
      </c>
      <c r="AJ121" s="351">
        <f>ROUND(AB121/0.955*0.03,2)</f>
        <v>45080.62</v>
      </c>
      <c r="AK121" s="351">
        <f>ROUND(AB121/0.955*0.015,2)</f>
        <v>22540.31</v>
      </c>
      <c r="AL121" s="351">
        <v>0</v>
      </c>
      <c r="AM121" s="434"/>
      <c r="AN121" s="350"/>
    </row>
    <row r="122" spans="1:40" s="19" customFormat="1" ht="9" hidden="1" customHeight="1">
      <c r="A122" s="349">
        <v>107</v>
      </c>
      <c r="B122" s="112" t="s">
        <v>579</v>
      </c>
      <c r="C122" s="117">
        <v>2638.9</v>
      </c>
      <c r="D122" s="54"/>
      <c r="E122" s="258">
        <f t="shared" si="34"/>
        <v>-517509.6100000001</v>
      </c>
      <c r="F122" s="225">
        <v>2513836</v>
      </c>
      <c r="G122" s="117">
        <f t="shared" ref="G122:G123" si="38">ROUND(H122+U122+X122+Z122+AB122+AD122+AF122+AH122+AI122+AJ122+AK122+AL122,2)</f>
        <v>1996326.39</v>
      </c>
      <c r="H122" s="348">
        <f t="shared" si="22"/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348">
        <v>0</v>
      </c>
      <c r="O122" s="348">
        <v>0</v>
      </c>
      <c r="P122" s="348">
        <v>0</v>
      </c>
      <c r="Q122" s="348">
        <v>0</v>
      </c>
      <c r="R122" s="348">
        <v>0</v>
      </c>
      <c r="S122" s="348">
        <v>0</v>
      </c>
      <c r="T122" s="44">
        <v>0</v>
      </c>
      <c r="U122" s="348">
        <v>0</v>
      </c>
      <c r="V122" s="54" t="s">
        <v>997</v>
      </c>
      <c r="W122" s="348">
        <v>657.57</v>
      </c>
      <c r="X122" s="348">
        <v>1884335</v>
      </c>
      <c r="Y122" s="348">
        <v>0</v>
      </c>
      <c r="Z122" s="348">
        <v>0</v>
      </c>
      <c r="AA122" s="348">
        <v>0</v>
      </c>
      <c r="AB122" s="348">
        <v>0</v>
      </c>
      <c r="AC122" s="348">
        <v>0</v>
      </c>
      <c r="AD122" s="348">
        <v>0</v>
      </c>
      <c r="AE122" s="348">
        <v>0</v>
      </c>
      <c r="AF122" s="348">
        <v>0</v>
      </c>
      <c r="AG122" s="348">
        <v>0</v>
      </c>
      <c r="AH122" s="348">
        <v>0</v>
      </c>
      <c r="AI122" s="348">
        <v>0</v>
      </c>
      <c r="AJ122" s="351">
        <v>74283.850000000006</v>
      </c>
      <c r="AK122" s="351">
        <v>37707.54</v>
      </c>
      <c r="AL122" s="351">
        <v>0</v>
      </c>
      <c r="AM122" s="434">
        <f>G122/W122</f>
        <v>3035.9146402664351</v>
      </c>
      <c r="AN122" s="350">
        <v>4814.95</v>
      </c>
    </row>
    <row r="123" spans="1:40" s="19" customFormat="1" ht="9" hidden="1" customHeight="1">
      <c r="A123" s="349">
        <v>108</v>
      </c>
      <c r="B123" s="112" t="s">
        <v>580</v>
      </c>
      <c r="C123" s="117">
        <v>5639.6</v>
      </c>
      <c r="D123" s="54"/>
      <c r="E123" s="258">
        <f t="shared" si="34"/>
        <v>-2025880.1600000001</v>
      </c>
      <c r="F123" s="225">
        <v>5541108</v>
      </c>
      <c r="G123" s="117">
        <f t="shared" si="38"/>
        <v>3515227.84</v>
      </c>
      <c r="H123" s="348">
        <f t="shared" si="22"/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348">
        <v>0</v>
      </c>
      <c r="O123" s="348">
        <v>0</v>
      </c>
      <c r="P123" s="348">
        <v>0</v>
      </c>
      <c r="Q123" s="348">
        <v>0</v>
      </c>
      <c r="R123" s="348">
        <v>0</v>
      </c>
      <c r="S123" s="348">
        <v>0</v>
      </c>
      <c r="T123" s="44">
        <v>0</v>
      </c>
      <c r="U123" s="348">
        <v>0</v>
      </c>
      <c r="V123" s="54" t="s">
        <v>997</v>
      </c>
      <c r="W123" s="348">
        <v>1592</v>
      </c>
      <c r="X123" s="348">
        <v>3311592.12</v>
      </c>
      <c r="Y123" s="348">
        <v>0</v>
      </c>
      <c r="Z123" s="348">
        <v>0</v>
      </c>
      <c r="AA123" s="348">
        <v>0</v>
      </c>
      <c r="AB123" s="348">
        <v>0</v>
      </c>
      <c r="AC123" s="348">
        <v>0</v>
      </c>
      <c r="AD123" s="348">
        <v>0</v>
      </c>
      <c r="AE123" s="348">
        <v>0</v>
      </c>
      <c r="AF123" s="348">
        <v>0</v>
      </c>
      <c r="AG123" s="348">
        <v>0</v>
      </c>
      <c r="AH123" s="348">
        <v>0</v>
      </c>
      <c r="AI123" s="348">
        <v>0</v>
      </c>
      <c r="AJ123" s="351">
        <v>120519.1</v>
      </c>
      <c r="AK123" s="351">
        <v>83116.62</v>
      </c>
      <c r="AL123" s="351">
        <v>0</v>
      </c>
      <c r="AM123" s="434">
        <f>G123/W123</f>
        <v>2208.0576884422107</v>
      </c>
      <c r="AN123" s="350">
        <v>4814.95</v>
      </c>
    </row>
    <row r="124" spans="1:40" s="19" customFormat="1" ht="9" hidden="1" customHeight="1">
      <c r="A124" s="349">
        <v>109</v>
      </c>
      <c r="B124" s="112" t="s">
        <v>581</v>
      </c>
      <c r="C124" s="117">
        <v>616</v>
      </c>
      <c r="D124" s="113"/>
      <c r="E124" s="258">
        <f t="shared" si="34"/>
        <v>-209385.05000000005</v>
      </c>
      <c r="F124" s="258">
        <v>1617591.36</v>
      </c>
      <c r="G124" s="117">
        <f>ROUND(H124+U124+X124+Z124+AB124+AD124+AF124+AH124+AI124+AJ124+AK124+AL124,2)</f>
        <v>1408206.31</v>
      </c>
      <c r="H124" s="348">
        <f>I124+K124+M124+O124+Q124+S124</f>
        <v>1029111.11</v>
      </c>
      <c r="I124" s="117">
        <v>98082.78</v>
      </c>
      <c r="J124" s="117">
        <v>709</v>
      </c>
      <c r="K124" s="117">
        <v>682678.38</v>
      </c>
      <c r="L124" s="117">
        <v>147</v>
      </c>
      <c r="M124" s="117">
        <f>107719.84</f>
        <v>107719.84</v>
      </c>
      <c r="N124" s="348">
        <v>88</v>
      </c>
      <c r="O124" s="348">
        <v>66311.350000000006</v>
      </c>
      <c r="P124" s="348">
        <v>0</v>
      </c>
      <c r="Q124" s="348">
        <v>0</v>
      </c>
      <c r="R124" s="348">
        <v>86</v>
      </c>
      <c r="S124" s="348">
        <v>74318.759999999995</v>
      </c>
      <c r="T124" s="44">
        <v>0</v>
      </c>
      <c r="U124" s="348">
        <v>0</v>
      </c>
      <c r="V124" s="113"/>
      <c r="W124" s="348">
        <v>0</v>
      </c>
      <c r="X124" s="348">
        <v>0</v>
      </c>
      <c r="Y124" s="348">
        <v>0</v>
      </c>
      <c r="Z124" s="348">
        <v>0</v>
      </c>
      <c r="AA124" s="348">
        <v>0</v>
      </c>
      <c r="AB124" s="348">
        <v>0</v>
      </c>
      <c r="AC124" s="348">
        <v>0</v>
      </c>
      <c r="AD124" s="348">
        <v>0</v>
      </c>
      <c r="AE124" s="348">
        <v>0</v>
      </c>
      <c r="AF124" s="348">
        <v>0</v>
      </c>
      <c r="AG124" s="348">
        <v>0</v>
      </c>
      <c r="AH124" s="348">
        <v>0</v>
      </c>
      <c r="AI124" s="348">
        <f>19976.15+286570.08</f>
        <v>306546.23000000004</v>
      </c>
      <c r="AJ124" s="351">
        <v>48285.1</v>
      </c>
      <c r="AK124" s="351">
        <v>24263.87</v>
      </c>
      <c r="AL124" s="351">
        <v>0</v>
      </c>
      <c r="AM124" s="434"/>
      <c r="AN124" s="350"/>
    </row>
    <row r="125" spans="1:40" s="19" customFormat="1" ht="9" hidden="1" customHeight="1">
      <c r="A125" s="349">
        <v>110</v>
      </c>
      <c r="B125" s="112" t="s">
        <v>582</v>
      </c>
      <c r="C125" s="117">
        <v>3661</v>
      </c>
      <c r="D125" s="113"/>
      <c r="E125" s="258">
        <f t="shared" si="34"/>
        <v>-4050723.33</v>
      </c>
      <c r="F125" s="258">
        <v>9613639.5600000005</v>
      </c>
      <c r="G125" s="117">
        <f t="shared" ref="G125:G129" si="39">ROUND(H125+U125+X125+Z125+AB125+AD125+AF125+AH125+AI125+AJ125+AK125+AL125,2)</f>
        <v>5562916.2300000004</v>
      </c>
      <c r="H125" s="348">
        <f>I125+K125+M125+O125+Q125+S125</f>
        <v>4781221.9600000009</v>
      </c>
      <c r="I125" s="117">
        <v>1567091.94</v>
      </c>
      <c r="J125" s="117">
        <v>1923</v>
      </c>
      <c r="K125" s="117">
        <v>2620958.1800000002</v>
      </c>
      <c r="L125" s="117">
        <v>425</v>
      </c>
      <c r="M125" s="117">
        <v>216039.12</v>
      </c>
      <c r="N125" s="348">
        <v>277</v>
      </c>
      <c r="O125" s="348">
        <v>183599.74</v>
      </c>
      <c r="P125" s="348">
        <v>0</v>
      </c>
      <c r="Q125" s="348">
        <v>0</v>
      </c>
      <c r="R125" s="348">
        <v>304</v>
      </c>
      <c r="S125" s="348">
        <v>193532.98</v>
      </c>
      <c r="T125" s="44">
        <v>0</v>
      </c>
      <c r="U125" s="348">
        <v>0</v>
      </c>
      <c r="V125" s="113"/>
      <c r="W125" s="348">
        <v>0</v>
      </c>
      <c r="X125" s="348">
        <v>0</v>
      </c>
      <c r="Y125" s="348">
        <v>0</v>
      </c>
      <c r="Z125" s="348">
        <v>0</v>
      </c>
      <c r="AA125" s="348">
        <v>0</v>
      </c>
      <c r="AB125" s="348">
        <v>0</v>
      </c>
      <c r="AC125" s="348">
        <v>0</v>
      </c>
      <c r="AD125" s="348">
        <v>0</v>
      </c>
      <c r="AE125" s="348">
        <v>0</v>
      </c>
      <c r="AF125" s="348">
        <v>0</v>
      </c>
      <c r="AG125" s="348">
        <v>0</v>
      </c>
      <c r="AH125" s="348">
        <v>0</v>
      </c>
      <c r="AI125" s="348">
        <f>77872.92+272649.62</f>
        <v>350522.54</v>
      </c>
      <c r="AJ125" s="351">
        <v>286967.14</v>
      </c>
      <c r="AK125" s="351">
        <v>144204.59</v>
      </c>
      <c r="AL125" s="351">
        <v>0</v>
      </c>
      <c r="AM125" s="434"/>
      <c r="AN125" s="350"/>
    </row>
    <row r="126" spans="1:40" s="19" customFormat="1" ht="9" hidden="1" customHeight="1">
      <c r="A126" s="349">
        <v>111</v>
      </c>
      <c r="B126" s="112" t="s">
        <v>583</v>
      </c>
      <c r="C126" s="117">
        <v>1621.5</v>
      </c>
      <c r="D126" s="54"/>
      <c r="E126" s="258">
        <f t="shared" si="34"/>
        <v>-1533783.8599999999</v>
      </c>
      <c r="F126" s="225">
        <v>3712632</v>
      </c>
      <c r="G126" s="117">
        <f t="shared" si="39"/>
        <v>2178848.14</v>
      </c>
      <c r="H126" s="348">
        <f t="shared" si="22"/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348">
        <v>0</v>
      </c>
      <c r="O126" s="348">
        <v>0</v>
      </c>
      <c r="P126" s="348">
        <v>0</v>
      </c>
      <c r="Q126" s="348">
        <v>0</v>
      </c>
      <c r="R126" s="348">
        <v>0</v>
      </c>
      <c r="S126" s="348">
        <v>0</v>
      </c>
      <c r="T126" s="44">
        <v>0</v>
      </c>
      <c r="U126" s="348">
        <v>0</v>
      </c>
      <c r="V126" s="54" t="s">
        <v>998</v>
      </c>
      <c r="W126" s="348">
        <v>554</v>
      </c>
      <c r="X126" s="348">
        <v>2018462.44</v>
      </c>
      <c r="Y126" s="348">
        <v>0</v>
      </c>
      <c r="Z126" s="348">
        <v>0</v>
      </c>
      <c r="AA126" s="348">
        <v>0</v>
      </c>
      <c r="AB126" s="348">
        <v>0</v>
      </c>
      <c r="AC126" s="348">
        <v>0</v>
      </c>
      <c r="AD126" s="348">
        <v>0</v>
      </c>
      <c r="AE126" s="348">
        <v>0</v>
      </c>
      <c r="AF126" s="348">
        <v>0</v>
      </c>
      <c r="AG126" s="348">
        <v>0</v>
      </c>
      <c r="AH126" s="348">
        <v>0</v>
      </c>
      <c r="AI126" s="348">
        <v>0</v>
      </c>
      <c r="AJ126" s="351">
        <v>104696.22</v>
      </c>
      <c r="AK126" s="351">
        <v>55689.48</v>
      </c>
      <c r="AL126" s="351">
        <v>0</v>
      </c>
      <c r="AM126" s="434">
        <f>G126/W126</f>
        <v>3932.9388808664262</v>
      </c>
      <c r="AN126" s="350"/>
    </row>
    <row r="127" spans="1:40" s="19" customFormat="1" ht="21.75" hidden="1" customHeight="1">
      <c r="A127" s="349">
        <v>112</v>
      </c>
      <c r="B127" s="112" t="s">
        <v>584</v>
      </c>
      <c r="C127" s="117">
        <v>3465</v>
      </c>
      <c r="D127" s="54"/>
      <c r="E127" s="258">
        <f t="shared" si="34"/>
        <v>246210.16000000015</v>
      </c>
      <c r="F127" s="225">
        <v>3300660</v>
      </c>
      <c r="G127" s="117">
        <f t="shared" si="39"/>
        <v>3546870.16</v>
      </c>
      <c r="H127" s="348">
        <f t="shared" si="22"/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348">
        <v>0</v>
      </c>
      <c r="O127" s="348">
        <v>0</v>
      </c>
      <c r="P127" s="348">
        <v>0</v>
      </c>
      <c r="Q127" s="348">
        <v>0</v>
      </c>
      <c r="R127" s="348">
        <v>0</v>
      </c>
      <c r="S127" s="348">
        <v>0</v>
      </c>
      <c r="T127" s="44">
        <v>0</v>
      </c>
      <c r="U127" s="348">
        <v>0</v>
      </c>
      <c r="V127" s="54" t="s">
        <v>997</v>
      </c>
      <c r="W127" s="348">
        <v>1016</v>
      </c>
      <c r="X127" s="348">
        <v>3426066</v>
      </c>
      <c r="Y127" s="348">
        <v>0</v>
      </c>
      <c r="Z127" s="348">
        <v>0</v>
      </c>
      <c r="AA127" s="348">
        <v>0</v>
      </c>
      <c r="AB127" s="348">
        <v>0</v>
      </c>
      <c r="AC127" s="348">
        <v>0</v>
      </c>
      <c r="AD127" s="348">
        <v>0</v>
      </c>
      <c r="AE127" s="348">
        <v>0</v>
      </c>
      <c r="AF127" s="348">
        <v>0</v>
      </c>
      <c r="AG127" s="348">
        <v>0</v>
      </c>
      <c r="AH127" s="348">
        <v>0</v>
      </c>
      <c r="AI127" s="348">
        <v>0</v>
      </c>
      <c r="AJ127" s="351">
        <v>71294.259999999995</v>
      </c>
      <c r="AK127" s="351">
        <v>49509.9</v>
      </c>
      <c r="AL127" s="351">
        <v>0</v>
      </c>
      <c r="AM127" s="434">
        <f>G127/W127</f>
        <v>3491.0139370078741</v>
      </c>
      <c r="AN127" s="350">
        <v>4814.95</v>
      </c>
    </row>
    <row r="128" spans="1:40" s="19" customFormat="1" ht="9" hidden="1" customHeight="1">
      <c r="A128" s="349">
        <v>113</v>
      </c>
      <c r="B128" s="118" t="s">
        <v>634</v>
      </c>
      <c r="C128" s="117">
        <v>2311.8000000000002</v>
      </c>
      <c r="D128" s="119"/>
      <c r="E128" s="258">
        <f t="shared" si="34"/>
        <v>83479.25</v>
      </c>
      <c r="F128" s="343">
        <v>1963596.8</v>
      </c>
      <c r="G128" s="117">
        <f t="shared" si="39"/>
        <v>2047076.05</v>
      </c>
      <c r="H128" s="348">
        <f t="shared" si="22"/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348">
        <v>0</v>
      </c>
      <c r="O128" s="348">
        <v>0</v>
      </c>
      <c r="P128" s="348">
        <v>0</v>
      </c>
      <c r="Q128" s="348">
        <v>0</v>
      </c>
      <c r="R128" s="348">
        <v>0</v>
      </c>
      <c r="S128" s="348">
        <v>0</v>
      </c>
      <c r="T128" s="44">
        <v>1</v>
      </c>
      <c r="U128" s="348">
        <v>1962248.67</v>
      </c>
      <c r="V128" s="119"/>
      <c r="W128" s="348">
        <v>0</v>
      </c>
      <c r="X128" s="348">
        <v>0</v>
      </c>
      <c r="Y128" s="348">
        <v>0</v>
      </c>
      <c r="Z128" s="348">
        <v>0</v>
      </c>
      <c r="AA128" s="348">
        <v>0</v>
      </c>
      <c r="AB128" s="348">
        <v>0</v>
      </c>
      <c r="AC128" s="348">
        <v>0</v>
      </c>
      <c r="AD128" s="348">
        <v>0</v>
      </c>
      <c r="AE128" s="348">
        <v>0</v>
      </c>
      <c r="AF128" s="348">
        <v>0</v>
      </c>
      <c r="AG128" s="348">
        <v>0</v>
      </c>
      <c r="AH128" s="348">
        <v>0</v>
      </c>
      <c r="AI128" s="348">
        <v>0</v>
      </c>
      <c r="AJ128" s="351">
        <v>55373.43</v>
      </c>
      <c r="AK128" s="351">
        <v>29453.95</v>
      </c>
      <c r="AL128" s="351">
        <v>0</v>
      </c>
      <c r="AM128" s="434"/>
      <c r="AN128" s="350"/>
    </row>
    <row r="129" spans="1:40" s="19" customFormat="1" ht="9" hidden="1" customHeight="1">
      <c r="A129" s="349">
        <v>114</v>
      </c>
      <c r="B129" s="118" t="s">
        <v>1028</v>
      </c>
      <c r="C129" s="117">
        <v>3544.6</v>
      </c>
      <c r="D129" s="54"/>
      <c r="E129" s="258">
        <f t="shared" si="34"/>
        <v>-569432.10999999987</v>
      </c>
      <c r="F129" s="225">
        <v>4220844</v>
      </c>
      <c r="G129" s="117">
        <f t="shared" si="39"/>
        <v>3651411.89</v>
      </c>
      <c r="H129" s="348">
        <f t="shared" si="22"/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348">
        <v>0</v>
      </c>
      <c r="O129" s="348">
        <v>0</v>
      </c>
      <c r="P129" s="348">
        <v>0</v>
      </c>
      <c r="Q129" s="348">
        <v>0</v>
      </c>
      <c r="R129" s="348">
        <v>0</v>
      </c>
      <c r="S129" s="348">
        <v>0</v>
      </c>
      <c r="T129" s="44">
        <v>0</v>
      </c>
      <c r="U129" s="348">
        <v>0</v>
      </c>
      <c r="V129" s="54" t="s">
        <v>997</v>
      </c>
      <c r="W129" s="348">
        <v>967</v>
      </c>
      <c r="X129" s="348">
        <v>3496929</v>
      </c>
      <c r="Y129" s="348">
        <v>0</v>
      </c>
      <c r="Z129" s="348">
        <v>0</v>
      </c>
      <c r="AA129" s="348">
        <v>0</v>
      </c>
      <c r="AB129" s="348">
        <v>0</v>
      </c>
      <c r="AC129" s="348">
        <v>0</v>
      </c>
      <c r="AD129" s="348">
        <v>0</v>
      </c>
      <c r="AE129" s="348">
        <v>0</v>
      </c>
      <c r="AF129" s="348">
        <v>0</v>
      </c>
      <c r="AG129" s="348">
        <v>0</v>
      </c>
      <c r="AH129" s="348">
        <v>0</v>
      </c>
      <c r="AI129" s="348">
        <v>0</v>
      </c>
      <c r="AJ129" s="351">
        <v>91170.23</v>
      </c>
      <c r="AK129" s="351">
        <v>63312.66</v>
      </c>
      <c r="AL129" s="351">
        <v>0</v>
      </c>
      <c r="AM129" s="434">
        <f>G129/W129</f>
        <v>3776.0205687693901</v>
      </c>
      <c r="AN129" s="350">
        <v>4814.95</v>
      </c>
    </row>
    <row r="130" spans="1:40" s="19" customFormat="1" ht="9" hidden="1" customHeight="1">
      <c r="A130" s="349">
        <v>115</v>
      </c>
      <c r="B130" s="118" t="s">
        <v>201</v>
      </c>
      <c r="C130" s="117">
        <v>2024.8</v>
      </c>
      <c r="D130" s="119"/>
      <c r="E130" s="258">
        <f t="shared" si="34"/>
        <v>0</v>
      </c>
      <c r="F130" s="343">
        <v>5250124.17</v>
      </c>
      <c r="G130" s="117">
        <f>H130+AI130+AJ130+AK130</f>
        <v>5250124.1700000009</v>
      </c>
      <c r="H130" s="348">
        <f t="shared" si="22"/>
        <v>4389462.68</v>
      </c>
      <c r="I130" s="117">
        <f>ROUND(0.955*(C130*370),2)</f>
        <v>715463.08</v>
      </c>
      <c r="J130" s="117">
        <v>0</v>
      </c>
      <c r="K130" s="117">
        <f>ROUND(0.955*(C130*1200),2)</f>
        <v>2320420.7999999998</v>
      </c>
      <c r="L130" s="117">
        <v>0</v>
      </c>
      <c r="M130" s="117">
        <v>0</v>
      </c>
      <c r="N130" s="348">
        <v>0</v>
      </c>
      <c r="O130" s="348">
        <f>ROUND(0.955*(C130*210),2)</f>
        <v>406073.64</v>
      </c>
      <c r="P130" s="348">
        <v>0</v>
      </c>
      <c r="Q130" s="348">
        <f>ROUND(0.955*(C130*270),2)</f>
        <v>522094.68</v>
      </c>
      <c r="R130" s="348">
        <v>0</v>
      </c>
      <c r="S130" s="348">
        <f>ROUND(0.955*(C130*220),2)</f>
        <v>425410.48</v>
      </c>
      <c r="T130" s="44">
        <v>0</v>
      </c>
      <c r="U130" s="348">
        <v>0</v>
      </c>
      <c r="V130" s="119"/>
      <c r="W130" s="348">
        <v>0</v>
      </c>
      <c r="X130" s="348">
        <v>0</v>
      </c>
      <c r="Y130" s="348">
        <v>0</v>
      </c>
      <c r="Z130" s="348">
        <v>0</v>
      </c>
      <c r="AA130" s="348">
        <v>0</v>
      </c>
      <c r="AB130" s="348">
        <v>0</v>
      </c>
      <c r="AC130" s="348">
        <v>0</v>
      </c>
      <c r="AD130" s="348">
        <v>0</v>
      </c>
      <c r="AE130" s="348">
        <v>0</v>
      </c>
      <c r="AF130" s="348">
        <v>0</v>
      </c>
      <c r="AG130" s="348">
        <v>0</v>
      </c>
      <c r="AH130" s="348">
        <v>0</v>
      </c>
      <c r="AI130" s="348">
        <f>ROUND(0.955*C130*322.91,2)</f>
        <v>624405.9</v>
      </c>
      <c r="AJ130" s="351">
        <f>ROUND(0.03*(210+220+1200+370+270+322.91)*C130,2)</f>
        <v>157503.73000000001</v>
      </c>
      <c r="AK130" s="351">
        <f>ROUND(0.015*(210+220+1200+370+270+322.91)*C130,2)</f>
        <v>78751.86</v>
      </c>
      <c r="AL130" s="351">
        <v>0</v>
      </c>
      <c r="AM130" s="434"/>
      <c r="AN130" s="350"/>
    </row>
    <row r="131" spans="1:40" s="19" customFormat="1" ht="9" hidden="1" customHeight="1">
      <c r="A131" s="349">
        <v>116</v>
      </c>
      <c r="B131" s="118" t="s">
        <v>1138</v>
      </c>
      <c r="C131" s="117">
        <v>5532.6</v>
      </c>
      <c r="D131" s="54"/>
      <c r="E131" s="258">
        <f t="shared" si="34"/>
        <v>180264.16999999993</v>
      </c>
      <c r="F131" s="225">
        <v>5177702</v>
      </c>
      <c r="G131" s="117">
        <f t="shared" ref="G131" si="40">ROUND(H131+U131+X131+Z131+AB131+AD131+AF131+AH131+AI131+AJ131+AK131+AL131,2)</f>
        <v>5357966.17</v>
      </c>
      <c r="H131" s="348">
        <f t="shared" si="22"/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348">
        <v>0</v>
      </c>
      <c r="O131" s="348">
        <v>0</v>
      </c>
      <c r="P131" s="348">
        <v>0</v>
      </c>
      <c r="Q131" s="348">
        <v>0</v>
      </c>
      <c r="R131" s="348">
        <v>0</v>
      </c>
      <c r="S131" s="348">
        <v>0</v>
      </c>
      <c r="T131" s="44">
        <v>0</v>
      </c>
      <c r="U131" s="348">
        <v>0</v>
      </c>
      <c r="V131" s="54" t="s">
        <v>997</v>
      </c>
      <c r="W131" s="348">
        <v>1546.3</v>
      </c>
      <c r="X131" s="348">
        <v>5164586.4800000004</v>
      </c>
      <c r="Y131" s="348">
        <v>0</v>
      </c>
      <c r="Z131" s="348">
        <v>0</v>
      </c>
      <c r="AA131" s="348">
        <v>0</v>
      </c>
      <c r="AB131" s="348">
        <v>0</v>
      </c>
      <c r="AC131" s="348">
        <v>0</v>
      </c>
      <c r="AD131" s="348">
        <v>0</v>
      </c>
      <c r="AE131" s="348">
        <v>0</v>
      </c>
      <c r="AF131" s="348">
        <v>0</v>
      </c>
      <c r="AG131" s="348">
        <v>0</v>
      </c>
      <c r="AH131" s="348">
        <v>0</v>
      </c>
      <c r="AI131" s="348">
        <v>0</v>
      </c>
      <c r="AJ131" s="351">
        <v>115714.16</v>
      </c>
      <c r="AK131" s="351">
        <v>77665.53</v>
      </c>
      <c r="AL131" s="351">
        <v>0</v>
      </c>
      <c r="AM131" s="434">
        <f>G131/W131</f>
        <v>3465.0237146737372</v>
      </c>
      <c r="AN131" s="350">
        <v>4814.95</v>
      </c>
    </row>
    <row r="132" spans="1:40" s="19" customFormat="1" ht="9" hidden="1" customHeight="1">
      <c r="A132" s="349">
        <v>117</v>
      </c>
      <c r="B132" s="62" t="s">
        <v>1043</v>
      </c>
      <c r="C132" s="117">
        <v>2856</v>
      </c>
      <c r="D132" s="54"/>
      <c r="E132" s="258">
        <f t="shared" si="34"/>
        <v>0</v>
      </c>
      <c r="F132" s="225">
        <v>1685040</v>
      </c>
      <c r="G132" s="117">
        <f>H132+AJ132+AK132</f>
        <v>1685040</v>
      </c>
      <c r="H132" s="348">
        <f t="shared" si="22"/>
        <v>1609213.2</v>
      </c>
      <c r="I132" s="117">
        <f>ROUND(0.955*(C132*370),2)</f>
        <v>1009167.6</v>
      </c>
      <c r="J132" s="117">
        <v>0</v>
      </c>
      <c r="K132" s="117">
        <v>0</v>
      </c>
      <c r="L132" s="117">
        <v>0</v>
      </c>
      <c r="M132" s="117">
        <v>0</v>
      </c>
      <c r="N132" s="348">
        <v>0</v>
      </c>
      <c r="O132" s="348">
        <v>0</v>
      </c>
      <c r="P132" s="348">
        <v>0</v>
      </c>
      <c r="Q132" s="348">
        <v>0</v>
      </c>
      <c r="R132" s="348">
        <v>0</v>
      </c>
      <c r="S132" s="348">
        <f>ROUND(0.955*(C132*220),2)</f>
        <v>600045.6</v>
      </c>
      <c r="T132" s="44">
        <v>0</v>
      </c>
      <c r="U132" s="348">
        <v>0</v>
      </c>
      <c r="V132" s="54"/>
      <c r="W132" s="348">
        <v>0</v>
      </c>
      <c r="X132" s="348">
        <v>0</v>
      </c>
      <c r="Y132" s="348">
        <v>0</v>
      </c>
      <c r="Z132" s="348">
        <v>0</v>
      </c>
      <c r="AA132" s="348">
        <v>0</v>
      </c>
      <c r="AB132" s="348">
        <v>0</v>
      </c>
      <c r="AC132" s="348">
        <v>0</v>
      </c>
      <c r="AD132" s="348">
        <v>0</v>
      </c>
      <c r="AE132" s="348">
        <v>0</v>
      </c>
      <c r="AF132" s="348">
        <v>0</v>
      </c>
      <c r="AG132" s="348">
        <v>0</v>
      </c>
      <c r="AH132" s="348">
        <v>0</v>
      </c>
      <c r="AI132" s="348">
        <v>0</v>
      </c>
      <c r="AJ132" s="351">
        <f>ROUND(0.03*(220+370)*C132,2)</f>
        <v>50551.199999999997</v>
      </c>
      <c r="AK132" s="351">
        <f>ROUND(0.015*(220+370)*C132,2)</f>
        <v>25275.599999999999</v>
      </c>
      <c r="AL132" s="351">
        <v>0</v>
      </c>
      <c r="AM132" s="434"/>
      <c r="AN132" s="350"/>
    </row>
    <row r="133" spans="1:40" s="19" customFormat="1" ht="9" hidden="1" customHeight="1">
      <c r="A133" s="349">
        <v>118</v>
      </c>
      <c r="B133" s="62" t="s">
        <v>1044</v>
      </c>
      <c r="C133" s="117">
        <v>1259.0999999999999</v>
      </c>
      <c r="D133" s="119"/>
      <c r="E133" s="258">
        <f t="shared" si="34"/>
        <v>-11253.579999999609</v>
      </c>
      <c r="F133" s="343">
        <v>3646303.2399999998</v>
      </c>
      <c r="G133" s="117">
        <f t="shared" ref="G133:G134" si="41">ROUND(H133+U133+X133+Z133+AB133+AD133+AF133+AH133+AI133+AJ133+AK133+AL133,2)</f>
        <v>3635049.66</v>
      </c>
      <c r="H133" s="348">
        <f>I133+K133+M133+O133+Q133+S133</f>
        <v>2853669.54</v>
      </c>
      <c r="I133" s="117">
        <v>368107.79</v>
      </c>
      <c r="J133" s="117">
        <v>918</v>
      </c>
      <c r="K133" s="117">
        <v>1769398.71</v>
      </c>
      <c r="L133" s="117">
        <v>145</v>
      </c>
      <c r="M133" s="117">
        <v>115362.71</v>
      </c>
      <c r="N133" s="348">
        <v>201</v>
      </c>
      <c r="O133" s="348">
        <v>150579.39000000001</v>
      </c>
      <c r="P133" s="348">
        <v>367</v>
      </c>
      <c r="Q133" s="348">
        <v>210324.39</v>
      </c>
      <c r="R133" s="348">
        <v>237</v>
      </c>
      <c r="S133" s="348">
        <v>239896.55</v>
      </c>
      <c r="T133" s="44">
        <v>0</v>
      </c>
      <c r="U133" s="348">
        <v>0</v>
      </c>
      <c r="V133" s="119"/>
      <c r="W133" s="348">
        <v>0</v>
      </c>
      <c r="X133" s="348">
        <v>0</v>
      </c>
      <c r="Y133" s="348">
        <v>0</v>
      </c>
      <c r="Z133" s="348">
        <v>0</v>
      </c>
      <c r="AA133" s="348">
        <v>0</v>
      </c>
      <c r="AB133" s="348">
        <v>0</v>
      </c>
      <c r="AC133" s="348">
        <v>0</v>
      </c>
      <c r="AD133" s="348">
        <v>0</v>
      </c>
      <c r="AE133" s="348">
        <v>0</v>
      </c>
      <c r="AF133" s="348">
        <v>0</v>
      </c>
      <c r="AG133" s="348">
        <v>0</v>
      </c>
      <c r="AH133" s="348">
        <v>0</v>
      </c>
      <c r="AI133" s="348">
        <f>239112.22+91841.17+292906.43</f>
        <v>623859.82000000007</v>
      </c>
      <c r="AJ133" s="351">
        <v>102825.75</v>
      </c>
      <c r="AK133" s="351">
        <v>54694.55</v>
      </c>
      <c r="AL133" s="351">
        <v>0</v>
      </c>
      <c r="AM133" s="434" t="e">
        <f>G133/W133</f>
        <v>#DIV/0!</v>
      </c>
      <c r="AN133" s="350"/>
    </row>
    <row r="134" spans="1:40" s="19" customFormat="1" ht="9" hidden="1" customHeight="1">
      <c r="A134" s="349">
        <v>119</v>
      </c>
      <c r="B134" s="62" t="s">
        <v>1063</v>
      </c>
      <c r="C134" s="117">
        <v>11532.2</v>
      </c>
      <c r="D134" s="119"/>
      <c r="E134" s="258">
        <f t="shared" si="34"/>
        <v>862120.26999999955</v>
      </c>
      <c r="F134" s="343">
        <v>11781580.800000001</v>
      </c>
      <c r="G134" s="117">
        <f t="shared" si="41"/>
        <v>12643701.07</v>
      </c>
      <c r="H134" s="348">
        <f t="shared" si="22"/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348">
        <v>0</v>
      </c>
      <c r="O134" s="348">
        <v>0</v>
      </c>
      <c r="P134" s="348">
        <v>0</v>
      </c>
      <c r="Q134" s="348">
        <v>0</v>
      </c>
      <c r="R134" s="348">
        <v>0</v>
      </c>
      <c r="S134" s="348">
        <v>0</v>
      </c>
      <c r="T134" s="156">
        <v>6</v>
      </c>
      <c r="U134" s="348">
        <v>12115297.18</v>
      </c>
      <c r="V134" s="119"/>
      <c r="W134" s="348">
        <v>0</v>
      </c>
      <c r="X134" s="348">
        <v>0</v>
      </c>
      <c r="Y134" s="348">
        <v>0</v>
      </c>
      <c r="Z134" s="348">
        <v>0</v>
      </c>
      <c r="AA134" s="348">
        <v>0</v>
      </c>
      <c r="AB134" s="348">
        <v>0</v>
      </c>
      <c r="AC134" s="348">
        <v>0</v>
      </c>
      <c r="AD134" s="348">
        <v>0</v>
      </c>
      <c r="AE134" s="348">
        <v>0</v>
      </c>
      <c r="AF134" s="348">
        <v>0</v>
      </c>
      <c r="AG134" s="348">
        <v>0</v>
      </c>
      <c r="AH134" s="348">
        <v>0</v>
      </c>
      <c r="AI134" s="348">
        <v>0</v>
      </c>
      <c r="AJ134" s="351">
        <v>351680.18</v>
      </c>
      <c r="AK134" s="351">
        <v>176723.71</v>
      </c>
      <c r="AL134" s="351">
        <v>0</v>
      </c>
      <c r="AM134" s="434" t="e">
        <f>G134/W134</f>
        <v>#DIV/0!</v>
      </c>
      <c r="AN134" s="350"/>
    </row>
    <row r="135" spans="1:40" s="19" customFormat="1" ht="9" hidden="1" customHeight="1">
      <c r="A135" s="349">
        <v>120</v>
      </c>
      <c r="B135" s="112" t="s">
        <v>506</v>
      </c>
      <c r="C135" s="117">
        <v>3981.4</v>
      </c>
      <c r="D135" s="119"/>
      <c r="E135" s="258">
        <f t="shared" si="34"/>
        <v>431556.48</v>
      </c>
      <c r="F135" s="343">
        <v>3927193.6000000001</v>
      </c>
      <c r="G135" s="117">
        <f>ROUND(H135+U135+X135+Z135+AB135+AD135+AF135+AH135+AI135+AJ135+AK135+AL135,2)</f>
        <v>4358750.08</v>
      </c>
      <c r="H135" s="348">
        <f t="shared" si="22"/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348">
        <v>0</v>
      </c>
      <c r="O135" s="348">
        <v>0</v>
      </c>
      <c r="P135" s="348">
        <v>0</v>
      </c>
      <c r="Q135" s="348">
        <v>0</v>
      </c>
      <c r="R135" s="348">
        <v>0</v>
      </c>
      <c r="S135" s="348">
        <v>0</v>
      </c>
      <c r="T135" s="156">
        <v>2</v>
      </c>
      <c r="U135" s="348">
        <v>4201466</v>
      </c>
      <c r="V135" s="119"/>
      <c r="W135" s="348">
        <v>0</v>
      </c>
      <c r="X135" s="348">
        <v>0</v>
      </c>
      <c r="Y135" s="348">
        <v>0</v>
      </c>
      <c r="Z135" s="348">
        <v>0</v>
      </c>
      <c r="AA135" s="348">
        <v>0</v>
      </c>
      <c r="AB135" s="348">
        <v>0</v>
      </c>
      <c r="AC135" s="348">
        <v>0</v>
      </c>
      <c r="AD135" s="348">
        <v>0</v>
      </c>
      <c r="AE135" s="348">
        <v>0</v>
      </c>
      <c r="AF135" s="348">
        <v>0</v>
      </c>
      <c r="AG135" s="348">
        <v>0</v>
      </c>
      <c r="AH135" s="348">
        <v>0</v>
      </c>
      <c r="AI135" s="348">
        <v>0</v>
      </c>
      <c r="AJ135" s="351">
        <v>98376.18</v>
      </c>
      <c r="AK135" s="351">
        <v>58907.9</v>
      </c>
      <c r="AL135" s="351">
        <v>0</v>
      </c>
      <c r="AM135" s="434" t="e">
        <f>G135/W135</f>
        <v>#DIV/0!</v>
      </c>
      <c r="AN135" s="350"/>
    </row>
    <row r="136" spans="1:40" s="19" customFormat="1" ht="9" hidden="1" customHeight="1">
      <c r="A136" s="349">
        <v>121</v>
      </c>
      <c r="B136" s="112" t="s">
        <v>1064</v>
      </c>
      <c r="C136" s="117">
        <v>7353.82</v>
      </c>
      <c r="D136" s="119"/>
      <c r="E136" s="258">
        <f t="shared" si="34"/>
        <v>852321.76000000071</v>
      </c>
      <c r="F136" s="343">
        <v>7854387.2000000002</v>
      </c>
      <c r="G136" s="117">
        <f>ROUND(H136+U136+X136+Z136+AB136+AD136+AF136+AH136+AI136+AJ136+AK136+AL136,2)</f>
        <v>8706708.9600000009</v>
      </c>
      <c r="H136" s="348">
        <f t="shared" si="22"/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348">
        <v>0</v>
      </c>
      <c r="O136" s="348">
        <v>0</v>
      </c>
      <c r="P136" s="348">
        <v>0</v>
      </c>
      <c r="Q136" s="348">
        <v>0</v>
      </c>
      <c r="R136" s="348">
        <v>0</v>
      </c>
      <c r="S136" s="348">
        <v>0</v>
      </c>
      <c r="T136" s="156">
        <v>4</v>
      </c>
      <c r="U136" s="348">
        <v>8356796</v>
      </c>
      <c r="V136" s="119"/>
      <c r="W136" s="348">
        <v>0</v>
      </c>
      <c r="X136" s="348">
        <v>0</v>
      </c>
      <c r="Y136" s="348">
        <v>0</v>
      </c>
      <c r="Z136" s="348">
        <v>0</v>
      </c>
      <c r="AA136" s="348">
        <v>0</v>
      </c>
      <c r="AB136" s="348">
        <v>0</v>
      </c>
      <c r="AC136" s="348">
        <v>0</v>
      </c>
      <c r="AD136" s="348">
        <v>0</v>
      </c>
      <c r="AE136" s="348">
        <v>0</v>
      </c>
      <c r="AF136" s="348">
        <v>0</v>
      </c>
      <c r="AG136" s="348">
        <v>0</v>
      </c>
      <c r="AH136" s="348">
        <v>0</v>
      </c>
      <c r="AI136" s="348">
        <v>0</v>
      </c>
      <c r="AJ136" s="351">
        <v>232097.15</v>
      </c>
      <c r="AK136" s="351">
        <v>117815.81</v>
      </c>
      <c r="AL136" s="351">
        <v>0</v>
      </c>
      <c r="AM136" s="434" t="e">
        <f>G136/W136</f>
        <v>#DIV/0!</v>
      </c>
      <c r="AN136" s="350"/>
    </row>
    <row r="137" spans="1:40" s="19" customFormat="1" ht="9" hidden="1" customHeight="1">
      <c r="A137" s="349">
        <v>122</v>
      </c>
      <c r="B137" s="112" t="s">
        <v>1065</v>
      </c>
      <c r="C137" s="117">
        <v>3288.1</v>
      </c>
      <c r="D137" s="119"/>
      <c r="E137" s="258">
        <f t="shared" si="34"/>
        <v>121293.92999999993</v>
      </c>
      <c r="F137" s="343">
        <v>1963596.8</v>
      </c>
      <c r="G137" s="117">
        <f t="shared" ref="G137" si="42">ROUND(H137+U137+X137+Z137+AB137+AD137+AF137+AH137+AI137+AJ137+AK137+AL137,2)</f>
        <v>2084890.73</v>
      </c>
      <c r="H137" s="348">
        <f t="shared" si="22"/>
        <v>0</v>
      </c>
      <c r="I137" s="117">
        <v>0</v>
      </c>
      <c r="J137" s="117">
        <v>0</v>
      </c>
      <c r="K137" s="117">
        <v>0</v>
      </c>
      <c r="L137" s="117">
        <v>0</v>
      </c>
      <c r="M137" s="117">
        <v>0</v>
      </c>
      <c r="N137" s="348">
        <v>0</v>
      </c>
      <c r="O137" s="348">
        <v>0</v>
      </c>
      <c r="P137" s="348">
        <v>0</v>
      </c>
      <c r="Q137" s="348">
        <v>0</v>
      </c>
      <c r="R137" s="348">
        <v>0</v>
      </c>
      <c r="S137" s="348">
        <v>0</v>
      </c>
      <c r="T137" s="156">
        <v>1</v>
      </c>
      <c r="U137" s="348">
        <v>2000063.35</v>
      </c>
      <c r="V137" s="119"/>
      <c r="W137" s="348">
        <v>0</v>
      </c>
      <c r="X137" s="348">
        <v>0</v>
      </c>
      <c r="Y137" s="348">
        <v>0</v>
      </c>
      <c r="Z137" s="348">
        <v>0</v>
      </c>
      <c r="AA137" s="348">
        <v>0</v>
      </c>
      <c r="AB137" s="348">
        <v>0</v>
      </c>
      <c r="AC137" s="348">
        <v>0</v>
      </c>
      <c r="AD137" s="348">
        <v>0</v>
      </c>
      <c r="AE137" s="348">
        <v>0</v>
      </c>
      <c r="AF137" s="348">
        <v>0</v>
      </c>
      <c r="AG137" s="348">
        <v>0</v>
      </c>
      <c r="AH137" s="348">
        <v>0</v>
      </c>
      <c r="AI137" s="348">
        <v>0</v>
      </c>
      <c r="AJ137" s="351">
        <v>55373.43</v>
      </c>
      <c r="AK137" s="351">
        <v>29453.95</v>
      </c>
      <c r="AL137" s="351">
        <v>0</v>
      </c>
      <c r="AM137" s="434" t="e">
        <f>G137/W137</f>
        <v>#DIV/0!</v>
      </c>
      <c r="AN137" s="350"/>
    </row>
    <row r="138" spans="1:40" s="19" customFormat="1" ht="9" hidden="1" customHeight="1">
      <c r="A138" s="349">
        <v>123</v>
      </c>
      <c r="B138" s="49" t="s">
        <v>453</v>
      </c>
      <c r="C138" s="117">
        <v>2285</v>
      </c>
      <c r="D138" s="54"/>
      <c r="E138" s="258">
        <f t="shared" si="34"/>
        <v>-2.8499998152256012E-3</v>
      </c>
      <c r="F138" s="225">
        <v>9017368.7300000004</v>
      </c>
      <c r="G138" s="224">
        <f>X138+AB138+AJ138+AK138</f>
        <v>9017368.7271500006</v>
      </c>
      <c r="H138" s="348">
        <f t="shared" si="22"/>
        <v>0</v>
      </c>
      <c r="I138" s="225">
        <v>0</v>
      </c>
      <c r="J138" s="225">
        <v>0</v>
      </c>
      <c r="K138" s="225">
        <v>0</v>
      </c>
      <c r="L138" s="225">
        <v>0</v>
      </c>
      <c r="M138" s="225">
        <v>0</v>
      </c>
      <c r="N138" s="348">
        <v>0</v>
      </c>
      <c r="O138" s="348">
        <v>0</v>
      </c>
      <c r="P138" s="348">
        <v>0</v>
      </c>
      <c r="Q138" s="348">
        <v>0</v>
      </c>
      <c r="R138" s="348">
        <v>0</v>
      </c>
      <c r="S138" s="348">
        <v>0</v>
      </c>
      <c r="T138" s="44">
        <v>0</v>
      </c>
      <c r="U138" s="348">
        <v>0</v>
      </c>
      <c r="V138" s="54" t="s">
        <v>998</v>
      </c>
      <c r="W138" s="348">
        <v>1610</v>
      </c>
      <c r="X138" s="348">
        <f>4301956.73*0.955</f>
        <v>4108368.6771500004</v>
      </c>
      <c r="Y138" s="351">
        <v>0</v>
      </c>
      <c r="Z138" s="351">
        <v>0</v>
      </c>
      <c r="AA138" s="351">
        <v>2004</v>
      </c>
      <c r="AB138" s="351">
        <f>ROUND(0.955*2353*AA138,2)</f>
        <v>4503218.46</v>
      </c>
      <c r="AC138" s="351">
        <v>0</v>
      </c>
      <c r="AD138" s="351">
        <v>0</v>
      </c>
      <c r="AE138" s="351">
        <v>0</v>
      </c>
      <c r="AF138" s="351">
        <v>0</v>
      </c>
      <c r="AG138" s="351">
        <v>0</v>
      </c>
      <c r="AH138" s="351">
        <v>0</v>
      </c>
      <c r="AI138" s="351">
        <v>0</v>
      </c>
      <c r="AJ138" s="351">
        <f>ROUND(0.03*(X138+AB138)/0.955,2)</f>
        <v>270521.06</v>
      </c>
      <c r="AK138" s="351">
        <f>ROUND(0.015*(X138+AB138)/0.955,2)</f>
        <v>135260.53</v>
      </c>
      <c r="AL138" s="351">
        <v>0</v>
      </c>
      <c r="AM138" s="351"/>
      <c r="AN138" s="351"/>
    </row>
    <row r="139" spans="1:40" s="19" customFormat="1" ht="9" hidden="1" customHeight="1">
      <c r="A139" s="349">
        <v>124</v>
      </c>
      <c r="B139" s="68" t="s">
        <v>202</v>
      </c>
      <c r="C139" s="117">
        <v>455.29</v>
      </c>
      <c r="D139" s="349"/>
      <c r="E139" s="258">
        <f t="shared" si="34"/>
        <v>0</v>
      </c>
      <c r="F139" s="348">
        <v>834091.27999999991</v>
      </c>
      <c r="G139" s="225">
        <f>H139+AI139+AJ139+AK139</f>
        <v>834091.27999999991</v>
      </c>
      <c r="H139" s="348">
        <f t="shared" si="22"/>
        <v>708727.17999999993</v>
      </c>
      <c r="I139" s="225">
        <v>0</v>
      </c>
      <c r="J139" s="225">
        <v>0</v>
      </c>
      <c r="K139" s="117">
        <f>ROUND(0.955*(C139*1200),2)</f>
        <v>521762.34</v>
      </c>
      <c r="L139" s="225">
        <v>0</v>
      </c>
      <c r="M139" s="225">
        <v>0</v>
      </c>
      <c r="N139" s="348">
        <v>0</v>
      </c>
      <c r="O139" s="348">
        <f>ROUND(0.955*(C139*210),2)</f>
        <v>91308.41</v>
      </c>
      <c r="P139" s="348">
        <v>0</v>
      </c>
      <c r="Q139" s="348">
        <v>0</v>
      </c>
      <c r="R139" s="348">
        <v>0</v>
      </c>
      <c r="S139" s="348">
        <f>ROUND(0.955*(C139*220),2)</f>
        <v>95656.43</v>
      </c>
      <c r="T139" s="44">
        <v>0</v>
      </c>
      <c r="U139" s="348">
        <v>0</v>
      </c>
      <c r="V139" s="349"/>
      <c r="W139" s="348">
        <v>0</v>
      </c>
      <c r="X139" s="348">
        <v>0</v>
      </c>
      <c r="Y139" s="351">
        <v>0</v>
      </c>
      <c r="Z139" s="351">
        <v>0</v>
      </c>
      <c r="AA139" s="351">
        <v>0</v>
      </c>
      <c r="AB139" s="351">
        <v>0</v>
      </c>
      <c r="AC139" s="351">
        <v>0</v>
      </c>
      <c r="AD139" s="351">
        <v>0</v>
      </c>
      <c r="AE139" s="351">
        <v>0</v>
      </c>
      <c r="AF139" s="351">
        <v>0</v>
      </c>
      <c r="AG139" s="351">
        <v>0</v>
      </c>
      <c r="AH139" s="351">
        <v>0</v>
      </c>
      <c r="AI139" s="351">
        <f>ROUND(0.955*C139*(180+22),2)</f>
        <v>87829.99</v>
      </c>
      <c r="AJ139" s="351">
        <f>ROUND(0.03*(210+220+1200+180+22)*C139,2)</f>
        <v>25022.74</v>
      </c>
      <c r="AK139" s="351">
        <f>ROUND(0.015*(210+220+1200+180+22)*C139,2)</f>
        <v>12511.37</v>
      </c>
      <c r="AL139" s="351">
        <v>0</v>
      </c>
      <c r="AM139" s="351"/>
      <c r="AN139" s="351"/>
    </row>
    <row r="140" spans="1:40" s="19" customFormat="1" ht="9" hidden="1" customHeight="1">
      <c r="A140" s="349">
        <v>125</v>
      </c>
      <c r="B140" s="23" t="s">
        <v>1076</v>
      </c>
      <c r="C140" s="117">
        <v>3536.4</v>
      </c>
      <c r="D140" s="54"/>
      <c r="E140" s="258">
        <f t="shared" si="34"/>
        <v>0</v>
      </c>
      <c r="F140" s="225">
        <v>3293992</v>
      </c>
      <c r="G140" s="225">
        <v>3293992</v>
      </c>
      <c r="H140" s="348">
        <f t="shared" si="22"/>
        <v>0</v>
      </c>
      <c r="I140" s="225">
        <v>0</v>
      </c>
      <c r="J140" s="225">
        <v>0</v>
      </c>
      <c r="K140" s="225">
        <v>0</v>
      </c>
      <c r="L140" s="225">
        <v>0</v>
      </c>
      <c r="M140" s="225">
        <v>0</v>
      </c>
      <c r="N140" s="348">
        <v>0</v>
      </c>
      <c r="O140" s="348">
        <v>0</v>
      </c>
      <c r="P140" s="348">
        <v>0</v>
      </c>
      <c r="Q140" s="348">
        <v>0</v>
      </c>
      <c r="R140" s="348">
        <v>0</v>
      </c>
      <c r="S140" s="348">
        <v>0</v>
      </c>
      <c r="T140" s="44">
        <v>0</v>
      </c>
      <c r="U140" s="348">
        <v>0</v>
      </c>
      <c r="V140" s="54" t="s">
        <v>997</v>
      </c>
      <c r="W140" s="348">
        <v>988</v>
      </c>
      <c r="X140" s="348">
        <f>ROUND(G140/100*95.5,2)</f>
        <v>3145762.36</v>
      </c>
      <c r="Y140" s="351">
        <v>0</v>
      </c>
      <c r="Z140" s="351">
        <v>0</v>
      </c>
      <c r="AA140" s="351">
        <v>0</v>
      </c>
      <c r="AB140" s="351">
        <v>0</v>
      </c>
      <c r="AC140" s="351">
        <v>0</v>
      </c>
      <c r="AD140" s="351">
        <v>0</v>
      </c>
      <c r="AE140" s="351">
        <v>0</v>
      </c>
      <c r="AF140" s="351">
        <v>0</v>
      </c>
      <c r="AG140" s="351">
        <v>0</v>
      </c>
      <c r="AH140" s="351">
        <v>0</v>
      </c>
      <c r="AI140" s="351">
        <v>0</v>
      </c>
      <c r="AJ140" s="351">
        <f t="shared" ref="AJ140:AJ141" si="43">ROUND(G140/100*3,2)</f>
        <v>98819.76</v>
      </c>
      <c r="AK140" s="351">
        <f t="shared" ref="AK140:AK141" si="44">ROUND(G140/100*1.5,2)</f>
        <v>49409.88</v>
      </c>
      <c r="AL140" s="351">
        <v>0</v>
      </c>
      <c r="AM140" s="351"/>
      <c r="AN140" s="351"/>
    </row>
    <row r="141" spans="1:40" s="19" customFormat="1" ht="9" hidden="1" customHeight="1">
      <c r="A141" s="349">
        <v>126</v>
      </c>
      <c r="B141" s="23" t="s">
        <v>1077</v>
      </c>
      <c r="C141" s="117">
        <v>2612.1</v>
      </c>
      <c r="D141" s="54"/>
      <c r="E141" s="258">
        <f t="shared" si="34"/>
        <v>0</v>
      </c>
      <c r="F141" s="225">
        <v>3600720</v>
      </c>
      <c r="G141" s="225">
        <v>3600720</v>
      </c>
      <c r="H141" s="348">
        <f t="shared" si="22"/>
        <v>0</v>
      </c>
      <c r="I141" s="225">
        <v>0</v>
      </c>
      <c r="J141" s="225">
        <v>0</v>
      </c>
      <c r="K141" s="225">
        <v>0</v>
      </c>
      <c r="L141" s="225">
        <v>0</v>
      </c>
      <c r="M141" s="225">
        <v>0</v>
      </c>
      <c r="N141" s="348">
        <v>0</v>
      </c>
      <c r="O141" s="348">
        <v>0</v>
      </c>
      <c r="P141" s="348">
        <v>0</v>
      </c>
      <c r="Q141" s="348">
        <v>0</v>
      </c>
      <c r="R141" s="348">
        <v>0</v>
      </c>
      <c r="S141" s="348">
        <v>0</v>
      </c>
      <c r="T141" s="44">
        <v>0</v>
      </c>
      <c r="U141" s="348">
        <v>0</v>
      </c>
      <c r="V141" s="54" t="s">
        <v>997</v>
      </c>
      <c r="W141" s="348">
        <v>1080</v>
      </c>
      <c r="X141" s="348">
        <f>ROUND(G141/100*95.5,2)</f>
        <v>3438687.6</v>
      </c>
      <c r="Y141" s="351">
        <v>0</v>
      </c>
      <c r="Z141" s="351">
        <v>0</v>
      </c>
      <c r="AA141" s="351">
        <v>0</v>
      </c>
      <c r="AB141" s="351">
        <v>0</v>
      </c>
      <c r="AC141" s="351">
        <v>0</v>
      </c>
      <c r="AD141" s="351">
        <v>0</v>
      </c>
      <c r="AE141" s="351">
        <v>0</v>
      </c>
      <c r="AF141" s="351">
        <v>0</v>
      </c>
      <c r="AG141" s="351">
        <v>0</v>
      </c>
      <c r="AH141" s="351">
        <v>0</v>
      </c>
      <c r="AI141" s="351">
        <v>0</v>
      </c>
      <c r="AJ141" s="351">
        <f t="shared" si="43"/>
        <v>108021.6</v>
      </c>
      <c r="AK141" s="351">
        <f t="shared" si="44"/>
        <v>54010.8</v>
      </c>
      <c r="AL141" s="351">
        <v>0</v>
      </c>
      <c r="AM141" s="351"/>
      <c r="AN141" s="351"/>
    </row>
    <row r="142" spans="1:40" s="19" customFormat="1" ht="9" hidden="1" customHeight="1">
      <c r="A142" s="349">
        <v>127</v>
      </c>
      <c r="B142" s="23" t="s">
        <v>1078</v>
      </c>
      <c r="C142" s="117">
        <v>2076.5</v>
      </c>
      <c r="D142" s="349"/>
      <c r="E142" s="258">
        <f t="shared" si="34"/>
        <v>0</v>
      </c>
      <c r="F142" s="348">
        <v>5105351.16</v>
      </c>
      <c r="G142" s="225">
        <f>AB142+AJ142+AK142</f>
        <v>5105351.16</v>
      </c>
      <c r="H142" s="348">
        <f t="shared" si="22"/>
        <v>0</v>
      </c>
      <c r="I142" s="225">
        <v>0</v>
      </c>
      <c r="J142" s="225">
        <v>0</v>
      </c>
      <c r="K142" s="225">
        <v>0</v>
      </c>
      <c r="L142" s="225">
        <v>0</v>
      </c>
      <c r="M142" s="225">
        <v>0</v>
      </c>
      <c r="N142" s="348">
        <v>0</v>
      </c>
      <c r="O142" s="348">
        <v>0</v>
      </c>
      <c r="P142" s="348">
        <v>0</v>
      </c>
      <c r="Q142" s="348">
        <v>0</v>
      </c>
      <c r="R142" s="348">
        <v>0</v>
      </c>
      <c r="S142" s="348">
        <v>0</v>
      </c>
      <c r="T142" s="44">
        <v>0</v>
      </c>
      <c r="U142" s="348">
        <v>0</v>
      </c>
      <c r="V142" s="349"/>
      <c r="W142" s="348">
        <v>0</v>
      </c>
      <c r="X142" s="348">
        <v>0</v>
      </c>
      <c r="Y142" s="351">
        <v>0</v>
      </c>
      <c r="Z142" s="351">
        <v>0</v>
      </c>
      <c r="AA142" s="351">
        <v>2169.7199999999998</v>
      </c>
      <c r="AB142" s="351">
        <f>ROUND(0.955*2353*AA142,2)</f>
        <v>4875610.3600000003</v>
      </c>
      <c r="AC142" s="351">
        <v>0</v>
      </c>
      <c r="AD142" s="351">
        <v>0</v>
      </c>
      <c r="AE142" s="351">
        <v>0</v>
      </c>
      <c r="AF142" s="351">
        <v>0</v>
      </c>
      <c r="AG142" s="351">
        <v>0</v>
      </c>
      <c r="AH142" s="351">
        <v>0</v>
      </c>
      <c r="AI142" s="351">
        <v>0</v>
      </c>
      <c r="AJ142" s="351">
        <f>ROUND(AB142/0.955*0.03,2)</f>
        <v>153160.53</v>
      </c>
      <c r="AK142" s="351">
        <f>ROUND(AB142/0.955*0.015,2)</f>
        <v>76580.27</v>
      </c>
      <c r="AL142" s="351">
        <v>0</v>
      </c>
      <c r="AM142" s="351"/>
      <c r="AN142" s="351"/>
    </row>
    <row r="143" spans="1:40" s="19" customFormat="1" ht="9" hidden="1" customHeight="1">
      <c r="A143" s="349">
        <v>128</v>
      </c>
      <c r="B143" s="49" t="s">
        <v>454</v>
      </c>
      <c r="C143" s="117">
        <v>2029.8999999999999</v>
      </c>
      <c r="D143" s="113"/>
      <c r="E143" s="258">
        <f t="shared" si="34"/>
        <v>3471145.5999999996</v>
      </c>
      <c r="F143" s="258">
        <v>2406619.4500000002</v>
      </c>
      <c r="G143" s="224">
        <f>X143+AB143+AJ143+AK143</f>
        <v>5877765.0499999998</v>
      </c>
      <c r="H143" s="348">
        <f t="shared" si="22"/>
        <v>0</v>
      </c>
      <c r="I143" s="225">
        <v>0</v>
      </c>
      <c r="J143" s="225">
        <v>0</v>
      </c>
      <c r="K143" s="225">
        <v>0</v>
      </c>
      <c r="L143" s="225">
        <v>0</v>
      </c>
      <c r="M143" s="225">
        <v>0</v>
      </c>
      <c r="N143" s="348">
        <v>0</v>
      </c>
      <c r="O143" s="348">
        <v>0</v>
      </c>
      <c r="P143" s="348">
        <v>0</v>
      </c>
      <c r="Q143" s="348">
        <v>0</v>
      </c>
      <c r="R143" s="348">
        <v>0</v>
      </c>
      <c r="S143" s="348">
        <v>0</v>
      </c>
      <c r="T143" s="44">
        <v>0</v>
      </c>
      <c r="U143" s="348">
        <v>0</v>
      </c>
      <c r="V143" s="113" t="s">
        <v>998</v>
      </c>
      <c r="W143" s="348">
        <v>750</v>
      </c>
      <c r="X143" s="348">
        <v>2298321.5699999998</v>
      </c>
      <c r="Y143" s="351">
        <v>0</v>
      </c>
      <c r="Z143" s="351">
        <v>0</v>
      </c>
      <c r="AA143" s="351">
        <v>1475.2</v>
      </c>
      <c r="AB143" s="351">
        <f>ROUND(0.955*2353*AA143,2)</f>
        <v>3314944.05</v>
      </c>
      <c r="AC143" s="351">
        <v>0</v>
      </c>
      <c r="AD143" s="351">
        <v>0</v>
      </c>
      <c r="AE143" s="351">
        <v>0</v>
      </c>
      <c r="AF143" s="351">
        <v>0</v>
      </c>
      <c r="AG143" s="351">
        <v>0</v>
      </c>
      <c r="AH143" s="351">
        <v>0</v>
      </c>
      <c r="AI143" s="351">
        <v>0</v>
      </c>
      <c r="AJ143" s="351">
        <f>ROUND(0.03*(X143+AB143)/0.955,2)</f>
        <v>176332.95</v>
      </c>
      <c r="AK143" s="351">
        <f>ROUND(0.015*(X143+AB143)/0.955,2)</f>
        <v>88166.48</v>
      </c>
      <c r="AL143" s="351">
        <v>0</v>
      </c>
      <c r="AM143" s="351"/>
      <c r="AN143" s="351"/>
    </row>
    <row r="144" spans="1:40" s="19" customFormat="1" ht="9" hidden="1" customHeight="1">
      <c r="A144" s="349">
        <v>129</v>
      </c>
      <c r="B144" s="49" t="s">
        <v>455</v>
      </c>
      <c r="C144" s="117">
        <v>2722.1</v>
      </c>
      <c r="D144" s="113"/>
      <c r="E144" s="258">
        <f t="shared" ref="E144:E156" si="45">G144-F144</f>
        <v>5173541.0999999996</v>
      </c>
      <c r="F144" s="258">
        <v>3043344.62</v>
      </c>
      <c r="G144" s="224">
        <f>X144+AB144+AJ144+AK144</f>
        <v>8216885.7199999997</v>
      </c>
      <c r="H144" s="348">
        <f t="shared" si="22"/>
        <v>0</v>
      </c>
      <c r="I144" s="225">
        <v>0</v>
      </c>
      <c r="J144" s="225">
        <v>0</v>
      </c>
      <c r="K144" s="225">
        <v>0</v>
      </c>
      <c r="L144" s="225">
        <v>0</v>
      </c>
      <c r="M144" s="225">
        <v>0</v>
      </c>
      <c r="N144" s="348">
        <v>0</v>
      </c>
      <c r="O144" s="348">
        <v>0</v>
      </c>
      <c r="P144" s="348">
        <v>0</v>
      </c>
      <c r="Q144" s="348">
        <v>0</v>
      </c>
      <c r="R144" s="348">
        <v>0</v>
      </c>
      <c r="S144" s="348">
        <v>0</v>
      </c>
      <c r="T144" s="44">
        <v>0</v>
      </c>
      <c r="U144" s="348">
        <v>0</v>
      </c>
      <c r="V144" s="113" t="s">
        <v>998</v>
      </c>
      <c r="W144" s="348">
        <v>1028</v>
      </c>
      <c r="X144" s="348">
        <v>2906394.11</v>
      </c>
      <c r="Y144" s="351">
        <v>0</v>
      </c>
      <c r="Z144" s="351">
        <v>0</v>
      </c>
      <c r="AA144" s="351">
        <v>2198.6999999999998</v>
      </c>
      <c r="AB144" s="351">
        <f>ROUND(0.955*2353*AA144,2)</f>
        <v>4940731.75</v>
      </c>
      <c r="AC144" s="351">
        <v>0</v>
      </c>
      <c r="AD144" s="351">
        <v>0</v>
      </c>
      <c r="AE144" s="351">
        <v>0</v>
      </c>
      <c r="AF144" s="351">
        <v>0</v>
      </c>
      <c r="AG144" s="351">
        <v>0</v>
      </c>
      <c r="AH144" s="351">
        <v>0</v>
      </c>
      <c r="AI144" s="351">
        <v>0</v>
      </c>
      <c r="AJ144" s="351">
        <f>ROUND(0.03*(X144+AB144)/0.955,2)</f>
        <v>246506.57</v>
      </c>
      <c r="AK144" s="351">
        <f>ROUND(0.015*(X144+AB144)/0.955,2)</f>
        <v>123253.29</v>
      </c>
      <c r="AL144" s="351">
        <v>0</v>
      </c>
      <c r="AM144" s="351"/>
      <c r="AN144" s="351"/>
    </row>
    <row r="145" spans="1:40" s="19" customFormat="1" ht="9" hidden="1" customHeight="1">
      <c r="A145" s="349">
        <v>130</v>
      </c>
      <c r="B145" s="49" t="s">
        <v>119</v>
      </c>
      <c r="C145" s="117">
        <v>4311.7</v>
      </c>
      <c r="D145" s="54"/>
      <c r="E145" s="258">
        <f t="shared" si="45"/>
        <v>0</v>
      </c>
      <c r="F145" s="225">
        <v>1392291.05</v>
      </c>
      <c r="G145" s="224">
        <f>AI145+AJ145+AK145</f>
        <v>1392291.05</v>
      </c>
      <c r="H145" s="348">
        <f t="shared" ref="H145:H160" si="46">I145+K145+M145+O145+Q145+S145</f>
        <v>0</v>
      </c>
      <c r="I145" s="225">
        <v>0</v>
      </c>
      <c r="J145" s="225">
        <v>0</v>
      </c>
      <c r="K145" s="225">
        <v>0</v>
      </c>
      <c r="L145" s="225">
        <v>0</v>
      </c>
      <c r="M145" s="225">
        <v>0</v>
      </c>
      <c r="N145" s="348">
        <v>0</v>
      </c>
      <c r="O145" s="348">
        <v>0</v>
      </c>
      <c r="P145" s="348">
        <v>0</v>
      </c>
      <c r="Q145" s="348">
        <v>0</v>
      </c>
      <c r="R145" s="348">
        <v>0</v>
      </c>
      <c r="S145" s="348">
        <v>0</v>
      </c>
      <c r="T145" s="44">
        <v>0</v>
      </c>
      <c r="U145" s="348">
        <v>0</v>
      </c>
      <c r="V145" s="54"/>
      <c r="W145" s="348">
        <v>0</v>
      </c>
      <c r="X145" s="348">
        <v>0</v>
      </c>
      <c r="Y145" s="351">
        <v>0</v>
      </c>
      <c r="Z145" s="351">
        <v>0</v>
      </c>
      <c r="AA145" s="351">
        <v>0</v>
      </c>
      <c r="AB145" s="351">
        <v>0</v>
      </c>
      <c r="AC145" s="351">
        <v>0</v>
      </c>
      <c r="AD145" s="351">
        <v>0</v>
      </c>
      <c r="AE145" s="351">
        <v>0</v>
      </c>
      <c r="AF145" s="351">
        <v>0</v>
      </c>
      <c r="AG145" s="351">
        <v>0</v>
      </c>
      <c r="AH145" s="351">
        <v>0</v>
      </c>
      <c r="AI145" s="348">
        <f>ROUND(0.955*C145*322.91,2)</f>
        <v>1329637.95</v>
      </c>
      <c r="AJ145" s="351">
        <f>ROUND((0.03*322.91)*C145,2)</f>
        <v>41768.730000000003</v>
      </c>
      <c r="AK145" s="351">
        <f>ROUND((0.015*(322.91)*C145),2)</f>
        <v>20884.37</v>
      </c>
      <c r="AL145" s="351">
        <v>0</v>
      </c>
      <c r="AM145" s="351"/>
      <c r="AN145" s="351"/>
    </row>
    <row r="146" spans="1:40" s="19" customFormat="1" ht="9" hidden="1" customHeight="1">
      <c r="A146" s="349">
        <v>131</v>
      </c>
      <c r="B146" s="49" t="s">
        <v>161</v>
      </c>
      <c r="C146" s="117">
        <v>1261</v>
      </c>
      <c r="D146" s="54"/>
      <c r="E146" s="258">
        <f t="shared" si="45"/>
        <v>0</v>
      </c>
      <c r="F146" s="225">
        <v>407189.51</v>
      </c>
      <c r="G146" s="224">
        <f t="shared" ref="G146:G152" si="47">AI146+AJ146+AK146</f>
        <v>407189.51</v>
      </c>
      <c r="H146" s="348">
        <f t="shared" si="46"/>
        <v>0</v>
      </c>
      <c r="I146" s="225">
        <v>0</v>
      </c>
      <c r="J146" s="225">
        <v>0</v>
      </c>
      <c r="K146" s="225">
        <v>0</v>
      </c>
      <c r="L146" s="225">
        <v>0</v>
      </c>
      <c r="M146" s="225">
        <v>0</v>
      </c>
      <c r="N146" s="348">
        <v>0</v>
      </c>
      <c r="O146" s="348">
        <v>0</v>
      </c>
      <c r="P146" s="348">
        <v>0</v>
      </c>
      <c r="Q146" s="348">
        <v>0</v>
      </c>
      <c r="R146" s="348">
        <v>0</v>
      </c>
      <c r="S146" s="348">
        <v>0</v>
      </c>
      <c r="T146" s="44">
        <v>0</v>
      </c>
      <c r="U146" s="348">
        <v>0</v>
      </c>
      <c r="V146" s="54"/>
      <c r="W146" s="348">
        <v>0</v>
      </c>
      <c r="X146" s="348">
        <v>0</v>
      </c>
      <c r="Y146" s="351">
        <v>0</v>
      </c>
      <c r="Z146" s="351">
        <v>0</v>
      </c>
      <c r="AA146" s="351">
        <v>0</v>
      </c>
      <c r="AB146" s="351">
        <v>0</v>
      </c>
      <c r="AC146" s="351">
        <v>0</v>
      </c>
      <c r="AD146" s="351">
        <v>0</v>
      </c>
      <c r="AE146" s="351">
        <v>0</v>
      </c>
      <c r="AF146" s="351">
        <v>0</v>
      </c>
      <c r="AG146" s="351">
        <v>0</v>
      </c>
      <c r="AH146" s="351">
        <v>0</v>
      </c>
      <c r="AI146" s="348">
        <f t="shared" ref="AI146:AI151" si="48">ROUND(0.955*C146*322.91,2)</f>
        <v>388865.98</v>
      </c>
      <c r="AJ146" s="351">
        <f t="shared" ref="AJ146:AJ152" si="49">ROUND((0.03*322.91)*C146,2)</f>
        <v>12215.69</v>
      </c>
      <c r="AK146" s="351">
        <f t="shared" ref="AK146:AK152" si="50">ROUND((0.015*(322.91)*C146),2)</f>
        <v>6107.84</v>
      </c>
      <c r="AL146" s="351">
        <v>0</v>
      </c>
      <c r="AM146" s="351"/>
      <c r="AN146" s="351"/>
    </row>
    <row r="147" spans="1:40" s="19" customFormat="1" ht="9" hidden="1" customHeight="1">
      <c r="A147" s="349">
        <v>132</v>
      </c>
      <c r="B147" s="49" t="s">
        <v>160</v>
      </c>
      <c r="C147" s="117">
        <v>2530.6999999999998</v>
      </c>
      <c r="D147" s="54"/>
      <c r="E147" s="258">
        <f t="shared" si="45"/>
        <v>0</v>
      </c>
      <c r="F147" s="225">
        <v>817188.34</v>
      </c>
      <c r="G147" s="224">
        <f t="shared" si="47"/>
        <v>817188.34</v>
      </c>
      <c r="H147" s="348">
        <f t="shared" si="46"/>
        <v>0</v>
      </c>
      <c r="I147" s="225">
        <v>0</v>
      </c>
      <c r="J147" s="225">
        <v>0</v>
      </c>
      <c r="K147" s="225">
        <v>0</v>
      </c>
      <c r="L147" s="225">
        <v>0</v>
      </c>
      <c r="M147" s="225">
        <v>0</v>
      </c>
      <c r="N147" s="348">
        <v>0</v>
      </c>
      <c r="O147" s="348">
        <v>0</v>
      </c>
      <c r="P147" s="348">
        <v>0</v>
      </c>
      <c r="Q147" s="348">
        <v>0</v>
      </c>
      <c r="R147" s="348">
        <v>0</v>
      </c>
      <c r="S147" s="348">
        <v>0</v>
      </c>
      <c r="T147" s="44">
        <v>0</v>
      </c>
      <c r="U147" s="348">
        <v>0</v>
      </c>
      <c r="V147" s="54"/>
      <c r="W147" s="348">
        <v>0</v>
      </c>
      <c r="X147" s="348">
        <v>0</v>
      </c>
      <c r="Y147" s="351">
        <v>0</v>
      </c>
      <c r="Z147" s="351">
        <v>0</v>
      </c>
      <c r="AA147" s="351">
        <v>0</v>
      </c>
      <c r="AB147" s="351">
        <v>0</v>
      </c>
      <c r="AC147" s="351">
        <v>0</v>
      </c>
      <c r="AD147" s="351">
        <v>0</v>
      </c>
      <c r="AE147" s="351">
        <v>0</v>
      </c>
      <c r="AF147" s="351">
        <v>0</v>
      </c>
      <c r="AG147" s="351">
        <v>0</v>
      </c>
      <c r="AH147" s="351">
        <v>0</v>
      </c>
      <c r="AI147" s="348">
        <f t="shared" si="48"/>
        <v>780414.86</v>
      </c>
      <c r="AJ147" s="351">
        <f t="shared" si="49"/>
        <v>24515.65</v>
      </c>
      <c r="AK147" s="351">
        <f t="shared" si="50"/>
        <v>12257.83</v>
      </c>
      <c r="AL147" s="351">
        <v>0</v>
      </c>
      <c r="AM147" s="351"/>
      <c r="AN147" s="351"/>
    </row>
    <row r="148" spans="1:40" s="19" customFormat="1" ht="9" hidden="1" customHeight="1">
      <c r="A148" s="349">
        <v>133</v>
      </c>
      <c r="B148" s="49" t="s">
        <v>1079</v>
      </c>
      <c r="C148" s="117">
        <v>3357.9</v>
      </c>
      <c r="D148" s="54"/>
      <c r="E148" s="258">
        <f t="shared" si="45"/>
        <v>0</v>
      </c>
      <c r="F148" s="225">
        <v>1084299.49</v>
      </c>
      <c r="G148" s="224">
        <f t="shared" si="47"/>
        <v>1084299.49</v>
      </c>
      <c r="H148" s="348">
        <f t="shared" si="46"/>
        <v>0</v>
      </c>
      <c r="I148" s="225">
        <v>0</v>
      </c>
      <c r="J148" s="225">
        <v>0</v>
      </c>
      <c r="K148" s="225">
        <v>0</v>
      </c>
      <c r="L148" s="225">
        <v>0</v>
      </c>
      <c r="M148" s="225">
        <v>0</v>
      </c>
      <c r="N148" s="348">
        <v>0</v>
      </c>
      <c r="O148" s="348">
        <v>0</v>
      </c>
      <c r="P148" s="348">
        <v>0</v>
      </c>
      <c r="Q148" s="348">
        <v>0</v>
      </c>
      <c r="R148" s="348">
        <v>0</v>
      </c>
      <c r="S148" s="348">
        <v>0</v>
      </c>
      <c r="T148" s="44">
        <v>0</v>
      </c>
      <c r="U148" s="348">
        <v>0</v>
      </c>
      <c r="V148" s="54"/>
      <c r="W148" s="348">
        <v>0</v>
      </c>
      <c r="X148" s="348">
        <v>0</v>
      </c>
      <c r="Y148" s="351">
        <v>0</v>
      </c>
      <c r="Z148" s="351">
        <v>0</v>
      </c>
      <c r="AA148" s="351">
        <v>0</v>
      </c>
      <c r="AB148" s="351">
        <v>0</v>
      </c>
      <c r="AC148" s="351">
        <v>0</v>
      </c>
      <c r="AD148" s="351">
        <v>0</v>
      </c>
      <c r="AE148" s="351">
        <v>0</v>
      </c>
      <c r="AF148" s="351">
        <v>0</v>
      </c>
      <c r="AG148" s="351">
        <v>0</v>
      </c>
      <c r="AH148" s="351">
        <v>0</v>
      </c>
      <c r="AI148" s="348">
        <f>ROUND(0.955*C148*322.91+0.01,2)</f>
        <v>1035506.02</v>
      </c>
      <c r="AJ148" s="351">
        <f t="shared" si="49"/>
        <v>32528.98</v>
      </c>
      <c r="AK148" s="351">
        <f t="shared" si="50"/>
        <v>16264.49</v>
      </c>
      <c r="AL148" s="351">
        <v>0</v>
      </c>
      <c r="AM148" s="351"/>
      <c r="AN148" s="351"/>
    </row>
    <row r="149" spans="1:40" s="19" customFormat="1" ht="9" hidden="1" customHeight="1">
      <c r="A149" s="349">
        <v>134</v>
      </c>
      <c r="B149" s="49" t="s">
        <v>1080</v>
      </c>
      <c r="C149" s="117">
        <v>2512</v>
      </c>
      <c r="D149" s="54"/>
      <c r="E149" s="258">
        <f t="shared" si="45"/>
        <v>0</v>
      </c>
      <c r="F149" s="225">
        <v>811149.92</v>
      </c>
      <c r="G149" s="224">
        <f t="shared" si="47"/>
        <v>811149.92</v>
      </c>
      <c r="H149" s="348">
        <f t="shared" si="46"/>
        <v>0</v>
      </c>
      <c r="I149" s="225">
        <v>0</v>
      </c>
      <c r="J149" s="225">
        <v>0</v>
      </c>
      <c r="K149" s="225">
        <v>0</v>
      </c>
      <c r="L149" s="225">
        <v>0</v>
      </c>
      <c r="M149" s="225">
        <v>0</v>
      </c>
      <c r="N149" s="348">
        <v>0</v>
      </c>
      <c r="O149" s="348">
        <v>0</v>
      </c>
      <c r="P149" s="348">
        <v>0</v>
      </c>
      <c r="Q149" s="348">
        <v>0</v>
      </c>
      <c r="R149" s="348">
        <v>0</v>
      </c>
      <c r="S149" s="348">
        <v>0</v>
      </c>
      <c r="T149" s="44">
        <v>0</v>
      </c>
      <c r="U149" s="348">
        <v>0</v>
      </c>
      <c r="V149" s="54"/>
      <c r="W149" s="348">
        <v>0</v>
      </c>
      <c r="X149" s="348">
        <v>0</v>
      </c>
      <c r="Y149" s="351">
        <v>0</v>
      </c>
      <c r="Z149" s="351">
        <v>0</v>
      </c>
      <c r="AA149" s="351">
        <v>0</v>
      </c>
      <c r="AB149" s="351">
        <v>0</v>
      </c>
      <c r="AC149" s="351">
        <v>0</v>
      </c>
      <c r="AD149" s="351">
        <v>0</v>
      </c>
      <c r="AE149" s="351">
        <v>0</v>
      </c>
      <c r="AF149" s="351">
        <v>0</v>
      </c>
      <c r="AG149" s="351">
        <v>0</v>
      </c>
      <c r="AH149" s="351">
        <v>0</v>
      </c>
      <c r="AI149" s="348">
        <f t="shared" si="48"/>
        <v>774648.17</v>
      </c>
      <c r="AJ149" s="351">
        <f t="shared" si="49"/>
        <v>24334.5</v>
      </c>
      <c r="AK149" s="351">
        <f t="shared" si="50"/>
        <v>12167.25</v>
      </c>
      <c r="AL149" s="351">
        <v>0</v>
      </c>
      <c r="AM149" s="351"/>
      <c r="AN149" s="351"/>
    </row>
    <row r="150" spans="1:40" s="19" customFormat="1" ht="9" hidden="1" customHeight="1">
      <c r="A150" s="349">
        <v>135</v>
      </c>
      <c r="B150" s="49" t="s">
        <v>1081</v>
      </c>
      <c r="C150" s="117">
        <v>1754.1</v>
      </c>
      <c r="D150" s="54"/>
      <c r="E150" s="258">
        <f t="shared" si="45"/>
        <v>0</v>
      </c>
      <c r="F150" s="225">
        <v>566416.43000000005</v>
      </c>
      <c r="G150" s="224">
        <f t="shared" si="47"/>
        <v>566416.42999999993</v>
      </c>
      <c r="H150" s="348">
        <f t="shared" si="46"/>
        <v>0</v>
      </c>
      <c r="I150" s="225">
        <v>0</v>
      </c>
      <c r="J150" s="225">
        <v>0</v>
      </c>
      <c r="K150" s="225">
        <v>0</v>
      </c>
      <c r="L150" s="225">
        <v>0</v>
      </c>
      <c r="M150" s="225">
        <v>0</v>
      </c>
      <c r="N150" s="348">
        <v>0</v>
      </c>
      <c r="O150" s="348">
        <v>0</v>
      </c>
      <c r="P150" s="348">
        <v>0</v>
      </c>
      <c r="Q150" s="348">
        <v>0</v>
      </c>
      <c r="R150" s="348">
        <v>0</v>
      </c>
      <c r="S150" s="348">
        <v>0</v>
      </c>
      <c r="T150" s="44">
        <v>0</v>
      </c>
      <c r="U150" s="348">
        <v>0</v>
      </c>
      <c r="V150" s="54"/>
      <c r="W150" s="348">
        <v>0</v>
      </c>
      <c r="X150" s="348">
        <v>0</v>
      </c>
      <c r="Y150" s="351">
        <v>0</v>
      </c>
      <c r="Z150" s="351">
        <v>0</v>
      </c>
      <c r="AA150" s="351">
        <v>0</v>
      </c>
      <c r="AB150" s="351">
        <v>0</v>
      </c>
      <c r="AC150" s="351">
        <v>0</v>
      </c>
      <c r="AD150" s="351">
        <v>0</v>
      </c>
      <c r="AE150" s="351">
        <v>0</v>
      </c>
      <c r="AF150" s="351">
        <v>0</v>
      </c>
      <c r="AG150" s="351">
        <v>0</v>
      </c>
      <c r="AH150" s="351">
        <v>0</v>
      </c>
      <c r="AI150" s="348">
        <f t="shared" si="48"/>
        <v>540927.68999999994</v>
      </c>
      <c r="AJ150" s="351">
        <f t="shared" si="49"/>
        <v>16992.490000000002</v>
      </c>
      <c r="AK150" s="351">
        <f t="shared" si="50"/>
        <v>8496.25</v>
      </c>
      <c r="AL150" s="351">
        <v>0</v>
      </c>
      <c r="AM150" s="351"/>
      <c r="AN150" s="351"/>
    </row>
    <row r="151" spans="1:40" s="19" customFormat="1" ht="9" hidden="1" customHeight="1">
      <c r="A151" s="349">
        <v>136</v>
      </c>
      <c r="B151" s="49" t="s">
        <v>1082</v>
      </c>
      <c r="C151" s="117">
        <v>3862.3</v>
      </c>
      <c r="D151" s="54"/>
      <c r="E151" s="258">
        <f t="shared" si="45"/>
        <v>0</v>
      </c>
      <c r="F151" s="225">
        <v>1247175.29</v>
      </c>
      <c r="G151" s="224">
        <f t="shared" si="47"/>
        <v>1247175.2899999998</v>
      </c>
      <c r="H151" s="348">
        <f t="shared" si="46"/>
        <v>0</v>
      </c>
      <c r="I151" s="225">
        <v>0</v>
      </c>
      <c r="J151" s="225">
        <v>0</v>
      </c>
      <c r="K151" s="225">
        <v>0</v>
      </c>
      <c r="L151" s="225">
        <v>0</v>
      </c>
      <c r="M151" s="225">
        <v>0</v>
      </c>
      <c r="N151" s="348">
        <v>0</v>
      </c>
      <c r="O151" s="348">
        <v>0</v>
      </c>
      <c r="P151" s="348">
        <v>0</v>
      </c>
      <c r="Q151" s="348">
        <v>0</v>
      </c>
      <c r="R151" s="348">
        <v>0</v>
      </c>
      <c r="S151" s="348">
        <v>0</v>
      </c>
      <c r="T151" s="44">
        <v>0</v>
      </c>
      <c r="U151" s="348">
        <v>0</v>
      </c>
      <c r="V151" s="54"/>
      <c r="W151" s="348">
        <v>0</v>
      </c>
      <c r="X151" s="348">
        <v>0</v>
      </c>
      <c r="Y151" s="351">
        <v>0</v>
      </c>
      <c r="Z151" s="351">
        <v>0</v>
      </c>
      <c r="AA151" s="351">
        <v>0</v>
      </c>
      <c r="AB151" s="351">
        <v>0</v>
      </c>
      <c r="AC151" s="351">
        <v>0</v>
      </c>
      <c r="AD151" s="351">
        <v>0</v>
      </c>
      <c r="AE151" s="351">
        <v>0</v>
      </c>
      <c r="AF151" s="351">
        <v>0</v>
      </c>
      <c r="AG151" s="351">
        <v>0</v>
      </c>
      <c r="AH151" s="351">
        <v>0</v>
      </c>
      <c r="AI151" s="348">
        <f t="shared" si="48"/>
        <v>1191052.3999999999</v>
      </c>
      <c r="AJ151" s="351">
        <f t="shared" si="49"/>
        <v>37415.26</v>
      </c>
      <c r="AK151" s="351">
        <f t="shared" si="50"/>
        <v>18707.63</v>
      </c>
      <c r="AL151" s="351">
        <v>0</v>
      </c>
      <c r="AM151" s="351"/>
      <c r="AN151" s="351"/>
    </row>
    <row r="152" spans="1:40" s="19" customFormat="1" ht="9" hidden="1" customHeight="1">
      <c r="A152" s="349">
        <v>137</v>
      </c>
      <c r="B152" s="49" t="s">
        <v>1083</v>
      </c>
      <c r="C152" s="117">
        <v>1540.7</v>
      </c>
      <c r="D152" s="54"/>
      <c r="E152" s="258">
        <f t="shared" si="45"/>
        <v>0</v>
      </c>
      <c r="F152" s="225">
        <v>497507.44</v>
      </c>
      <c r="G152" s="224">
        <f t="shared" si="47"/>
        <v>497507.43999999994</v>
      </c>
      <c r="H152" s="348">
        <f t="shared" si="46"/>
        <v>0</v>
      </c>
      <c r="I152" s="225">
        <v>0</v>
      </c>
      <c r="J152" s="225">
        <v>0</v>
      </c>
      <c r="K152" s="225">
        <v>0</v>
      </c>
      <c r="L152" s="225">
        <v>0</v>
      </c>
      <c r="M152" s="225">
        <v>0</v>
      </c>
      <c r="N152" s="348">
        <v>0</v>
      </c>
      <c r="O152" s="348">
        <v>0</v>
      </c>
      <c r="P152" s="348">
        <v>0</v>
      </c>
      <c r="Q152" s="348">
        <v>0</v>
      </c>
      <c r="R152" s="348">
        <v>0</v>
      </c>
      <c r="S152" s="348">
        <v>0</v>
      </c>
      <c r="T152" s="44">
        <v>0</v>
      </c>
      <c r="U152" s="348">
        <v>0</v>
      </c>
      <c r="V152" s="54"/>
      <c r="W152" s="348">
        <v>0</v>
      </c>
      <c r="X152" s="348">
        <v>0</v>
      </c>
      <c r="Y152" s="351">
        <v>0</v>
      </c>
      <c r="Z152" s="351">
        <v>0</v>
      </c>
      <c r="AA152" s="351">
        <v>0</v>
      </c>
      <c r="AB152" s="351">
        <v>0</v>
      </c>
      <c r="AC152" s="351">
        <v>0</v>
      </c>
      <c r="AD152" s="351">
        <v>0</v>
      </c>
      <c r="AE152" s="351">
        <v>0</v>
      </c>
      <c r="AF152" s="351">
        <v>0</v>
      </c>
      <c r="AG152" s="351">
        <v>0</v>
      </c>
      <c r="AH152" s="351">
        <v>0</v>
      </c>
      <c r="AI152" s="348">
        <f>ROUND(0.955*C152*322.91+0.01,2)</f>
        <v>475119.61</v>
      </c>
      <c r="AJ152" s="351">
        <f t="shared" si="49"/>
        <v>14925.22</v>
      </c>
      <c r="AK152" s="351">
        <f t="shared" si="50"/>
        <v>7462.61</v>
      </c>
      <c r="AL152" s="351">
        <v>0</v>
      </c>
      <c r="AM152" s="351"/>
      <c r="AN152" s="351"/>
    </row>
    <row r="153" spans="1:40" s="19" customFormat="1" ht="9" hidden="1" customHeight="1">
      <c r="A153" s="349">
        <v>138</v>
      </c>
      <c r="B153" s="49" t="s">
        <v>1084</v>
      </c>
      <c r="C153" s="117">
        <v>3295.6</v>
      </c>
      <c r="D153" s="54" t="s">
        <v>1016</v>
      </c>
      <c r="E153" s="258">
        <f t="shared" si="45"/>
        <v>0</v>
      </c>
      <c r="F153" s="225">
        <v>1400280</v>
      </c>
      <c r="G153" s="224">
        <v>1400280</v>
      </c>
      <c r="H153" s="348">
        <f t="shared" si="46"/>
        <v>0</v>
      </c>
      <c r="I153" s="225">
        <v>0</v>
      </c>
      <c r="J153" s="225">
        <v>0</v>
      </c>
      <c r="K153" s="225">
        <v>0</v>
      </c>
      <c r="L153" s="225">
        <v>0</v>
      </c>
      <c r="M153" s="225">
        <v>0</v>
      </c>
      <c r="N153" s="348">
        <v>0</v>
      </c>
      <c r="O153" s="348">
        <v>0</v>
      </c>
      <c r="P153" s="348">
        <v>0</v>
      </c>
      <c r="Q153" s="348">
        <v>0</v>
      </c>
      <c r="R153" s="348">
        <v>0</v>
      </c>
      <c r="S153" s="348">
        <v>0</v>
      </c>
      <c r="T153" s="44">
        <v>0</v>
      </c>
      <c r="U153" s="348">
        <v>0</v>
      </c>
      <c r="V153" s="54" t="s">
        <v>997</v>
      </c>
      <c r="W153" s="348">
        <v>420</v>
      </c>
      <c r="X153" s="348">
        <f t="shared" ref="X153:X156" si="51">ROUND(G153/100*95.5,2)</f>
        <v>1337267.3999999999</v>
      </c>
      <c r="Y153" s="351">
        <v>0</v>
      </c>
      <c r="Z153" s="351">
        <v>0</v>
      </c>
      <c r="AA153" s="351">
        <v>0</v>
      </c>
      <c r="AB153" s="351">
        <v>0</v>
      </c>
      <c r="AC153" s="351">
        <v>0</v>
      </c>
      <c r="AD153" s="351">
        <v>0</v>
      </c>
      <c r="AE153" s="351">
        <v>0</v>
      </c>
      <c r="AF153" s="351">
        <v>0</v>
      </c>
      <c r="AG153" s="351">
        <v>0</v>
      </c>
      <c r="AH153" s="351">
        <v>0</v>
      </c>
      <c r="AI153" s="351">
        <v>0</v>
      </c>
      <c r="AJ153" s="351">
        <f t="shared" ref="AJ153:AJ156" si="52">ROUND(G153/100*3,2)</f>
        <v>42008.4</v>
      </c>
      <c r="AK153" s="351">
        <f t="shared" ref="AK153:AK156" si="53">ROUND(G153/100*1.5,2)</f>
        <v>21004.2</v>
      </c>
      <c r="AL153" s="351">
        <v>0</v>
      </c>
      <c r="AM153" s="351"/>
      <c r="AN153" s="351"/>
    </row>
    <row r="154" spans="1:40" s="19" customFormat="1" ht="9" hidden="1" customHeight="1">
      <c r="A154" s="349">
        <v>139</v>
      </c>
      <c r="B154" s="49" t="s">
        <v>124</v>
      </c>
      <c r="C154" s="117">
        <v>5601</v>
      </c>
      <c r="D154" s="54"/>
      <c r="E154" s="258">
        <f t="shared" si="45"/>
        <v>0</v>
      </c>
      <c r="F154" s="225">
        <v>4290366</v>
      </c>
      <c r="G154" s="224">
        <f>H154+AI154+AJ154+AK154</f>
        <v>4290366.0000000009</v>
      </c>
      <c r="H154" s="348">
        <f t="shared" si="46"/>
        <v>3744268.5000000005</v>
      </c>
      <c r="I154" s="225">
        <v>0</v>
      </c>
      <c r="J154" s="225">
        <v>0</v>
      </c>
      <c r="K154" s="225">
        <v>0</v>
      </c>
      <c r="L154" s="225">
        <v>0</v>
      </c>
      <c r="M154" s="225">
        <v>0</v>
      </c>
      <c r="N154" s="348">
        <v>0</v>
      </c>
      <c r="O154" s="348">
        <f>ROUND(0.955*(C154*210),2)</f>
        <v>1123280.55</v>
      </c>
      <c r="P154" s="348">
        <v>0</v>
      </c>
      <c r="Q154" s="348">
        <f>ROUND(0.955*(C154*270),2)</f>
        <v>1444217.85</v>
      </c>
      <c r="R154" s="348">
        <v>0</v>
      </c>
      <c r="S154" s="348">
        <f>ROUND(0.955*(C154*220),2)</f>
        <v>1176770.1000000001</v>
      </c>
      <c r="T154" s="44">
        <v>0</v>
      </c>
      <c r="U154" s="348">
        <v>0</v>
      </c>
      <c r="V154" s="54"/>
      <c r="W154" s="348">
        <v>0</v>
      </c>
      <c r="X154" s="348">
        <v>0</v>
      </c>
      <c r="Y154" s="351">
        <v>0</v>
      </c>
      <c r="Z154" s="351">
        <v>0</v>
      </c>
      <c r="AA154" s="351">
        <v>0</v>
      </c>
      <c r="AB154" s="351">
        <v>0</v>
      </c>
      <c r="AC154" s="351">
        <v>0</v>
      </c>
      <c r="AD154" s="351">
        <v>0</v>
      </c>
      <c r="AE154" s="351">
        <v>0</v>
      </c>
      <c r="AF154" s="351">
        <v>0</v>
      </c>
      <c r="AG154" s="351">
        <v>0</v>
      </c>
      <c r="AH154" s="351">
        <v>0</v>
      </c>
      <c r="AI154" s="351">
        <f>ROUND(0.955*C154*(44+22),2)</f>
        <v>353031.03</v>
      </c>
      <c r="AJ154" s="351">
        <f>ROUND(0.03*(210+220+270+44+22)*C154,2)</f>
        <v>128710.98</v>
      </c>
      <c r="AK154" s="351">
        <f>ROUND(0.015*(210+220+44+270+22)*C154,2)</f>
        <v>64355.49</v>
      </c>
      <c r="AL154" s="351">
        <v>0</v>
      </c>
      <c r="AM154" s="351"/>
      <c r="AN154" s="351"/>
    </row>
    <row r="155" spans="1:40" s="19" customFormat="1" ht="9" hidden="1" customHeight="1">
      <c r="A155" s="349">
        <v>140</v>
      </c>
      <c r="B155" s="49" t="s">
        <v>1087</v>
      </c>
      <c r="C155" s="117">
        <v>6517.9</v>
      </c>
      <c r="D155" s="54"/>
      <c r="E155" s="258">
        <f t="shared" si="45"/>
        <v>0</v>
      </c>
      <c r="F155" s="225">
        <v>6094552</v>
      </c>
      <c r="G155" s="224">
        <v>6094552</v>
      </c>
      <c r="H155" s="348">
        <f t="shared" si="46"/>
        <v>0</v>
      </c>
      <c r="I155" s="225">
        <v>0</v>
      </c>
      <c r="J155" s="225">
        <v>0</v>
      </c>
      <c r="K155" s="225">
        <v>0</v>
      </c>
      <c r="L155" s="225">
        <v>0</v>
      </c>
      <c r="M155" s="225">
        <v>0</v>
      </c>
      <c r="N155" s="348">
        <v>0</v>
      </c>
      <c r="O155" s="348">
        <v>0</v>
      </c>
      <c r="P155" s="348">
        <v>0</v>
      </c>
      <c r="Q155" s="348">
        <v>0</v>
      </c>
      <c r="R155" s="348">
        <v>0</v>
      </c>
      <c r="S155" s="348">
        <v>0</v>
      </c>
      <c r="T155" s="44">
        <v>0</v>
      </c>
      <c r="U155" s="348">
        <v>0</v>
      </c>
      <c r="V155" s="54" t="s">
        <v>997</v>
      </c>
      <c r="W155" s="348">
        <v>1828</v>
      </c>
      <c r="X155" s="348">
        <f t="shared" si="51"/>
        <v>5820297.1600000001</v>
      </c>
      <c r="Y155" s="351">
        <v>0</v>
      </c>
      <c r="Z155" s="351">
        <v>0</v>
      </c>
      <c r="AA155" s="351">
        <v>0</v>
      </c>
      <c r="AB155" s="351">
        <v>0</v>
      </c>
      <c r="AC155" s="351">
        <v>0</v>
      </c>
      <c r="AD155" s="351">
        <v>0</v>
      </c>
      <c r="AE155" s="351">
        <v>0</v>
      </c>
      <c r="AF155" s="351">
        <v>0</v>
      </c>
      <c r="AG155" s="351">
        <v>0</v>
      </c>
      <c r="AH155" s="351">
        <v>0</v>
      </c>
      <c r="AI155" s="351">
        <v>0</v>
      </c>
      <c r="AJ155" s="351">
        <f t="shared" si="52"/>
        <v>182836.56</v>
      </c>
      <c r="AK155" s="351">
        <f t="shared" si="53"/>
        <v>91418.28</v>
      </c>
      <c r="AL155" s="351">
        <v>0</v>
      </c>
      <c r="AM155" s="351"/>
      <c r="AN155" s="351"/>
    </row>
    <row r="156" spans="1:40" s="19" customFormat="1" ht="9" hidden="1" customHeight="1">
      <c r="A156" s="349">
        <v>141</v>
      </c>
      <c r="B156" s="49" t="s">
        <v>1088</v>
      </c>
      <c r="C156" s="117">
        <v>5200.7</v>
      </c>
      <c r="D156" s="54"/>
      <c r="E156" s="258">
        <f t="shared" si="45"/>
        <v>0</v>
      </c>
      <c r="F156" s="225">
        <v>4090818</v>
      </c>
      <c r="G156" s="224">
        <v>4090818</v>
      </c>
      <c r="H156" s="348">
        <f t="shared" si="46"/>
        <v>0</v>
      </c>
      <c r="I156" s="225">
        <v>0</v>
      </c>
      <c r="J156" s="225">
        <v>0</v>
      </c>
      <c r="K156" s="225">
        <v>0</v>
      </c>
      <c r="L156" s="225">
        <v>0</v>
      </c>
      <c r="M156" s="225">
        <v>0</v>
      </c>
      <c r="N156" s="348">
        <v>0</v>
      </c>
      <c r="O156" s="348">
        <v>0</v>
      </c>
      <c r="P156" s="348">
        <v>0</v>
      </c>
      <c r="Q156" s="348">
        <v>0</v>
      </c>
      <c r="R156" s="348">
        <v>0</v>
      </c>
      <c r="S156" s="348">
        <v>0</v>
      </c>
      <c r="T156" s="44">
        <v>0</v>
      </c>
      <c r="U156" s="348">
        <v>0</v>
      </c>
      <c r="V156" s="54" t="s">
        <v>997</v>
      </c>
      <c r="W156" s="348">
        <v>1227</v>
      </c>
      <c r="X156" s="348">
        <f t="shared" si="51"/>
        <v>3906731.19</v>
      </c>
      <c r="Y156" s="351">
        <v>0</v>
      </c>
      <c r="Z156" s="351">
        <v>0</v>
      </c>
      <c r="AA156" s="351">
        <v>0</v>
      </c>
      <c r="AB156" s="351">
        <v>0</v>
      </c>
      <c r="AC156" s="351">
        <v>0</v>
      </c>
      <c r="AD156" s="351">
        <v>0</v>
      </c>
      <c r="AE156" s="351">
        <v>0</v>
      </c>
      <c r="AF156" s="351">
        <v>0</v>
      </c>
      <c r="AG156" s="351">
        <v>0</v>
      </c>
      <c r="AH156" s="351">
        <v>0</v>
      </c>
      <c r="AI156" s="351">
        <v>0</v>
      </c>
      <c r="AJ156" s="351">
        <f t="shared" si="52"/>
        <v>122724.54</v>
      </c>
      <c r="AK156" s="351">
        <f t="shared" si="53"/>
        <v>61362.27</v>
      </c>
      <c r="AL156" s="351">
        <v>0</v>
      </c>
      <c r="AM156" s="351"/>
      <c r="AN156" s="351"/>
    </row>
    <row r="157" spans="1:40" s="19" customFormat="1" ht="9" hidden="1" customHeight="1">
      <c r="A157" s="349">
        <v>142</v>
      </c>
      <c r="B157" s="49" t="s">
        <v>1129</v>
      </c>
      <c r="C157" s="117">
        <v>3520.6</v>
      </c>
      <c r="D157" s="54"/>
      <c r="E157" s="258"/>
      <c r="F157" s="225"/>
      <c r="G157" s="224">
        <f>ROUND((H157+AI157+AJ157+AK157),2)</f>
        <v>6608166.2000000002</v>
      </c>
      <c r="H157" s="348">
        <f t="shared" si="46"/>
        <v>5631639.7699999996</v>
      </c>
      <c r="I157" s="117">
        <f>ROUND(0.955*(C157*370)-0.01,2)</f>
        <v>1244004</v>
      </c>
      <c r="J157" s="117">
        <v>0</v>
      </c>
      <c r="K157" s="117">
        <f>ROUND(0.955*(C157*1200),2)</f>
        <v>4034607.6</v>
      </c>
      <c r="L157" s="225">
        <v>0</v>
      </c>
      <c r="M157" s="225">
        <v>0</v>
      </c>
      <c r="N157" s="348">
        <v>0</v>
      </c>
      <c r="O157" s="348">
        <f>ROUND(0.955*(C157*210)/2,2)</f>
        <v>353028.17</v>
      </c>
      <c r="P157" s="348">
        <v>0</v>
      </c>
      <c r="Q157" s="348">
        <v>0</v>
      </c>
      <c r="R157" s="348">
        <v>0</v>
      </c>
      <c r="S157" s="348">
        <v>0</v>
      </c>
      <c r="T157" s="44">
        <v>0</v>
      </c>
      <c r="U157" s="348">
        <v>0</v>
      </c>
      <c r="V157" s="54"/>
      <c r="W157" s="348">
        <v>0</v>
      </c>
      <c r="X157" s="348">
        <v>0</v>
      </c>
      <c r="Y157" s="351">
        <v>0</v>
      </c>
      <c r="Z157" s="351">
        <v>0</v>
      </c>
      <c r="AA157" s="351">
        <v>0</v>
      </c>
      <c r="AB157" s="351">
        <v>0</v>
      </c>
      <c r="AC157" s="351">
        <v>0</v>
      </c>
      <c r="AD157" s="351">
        <v>0</v>
      </c>
      <c r="AE157" s="351">
        <v>0</v>
      </c>
      <c r="AF157" s="351">
        <v>0</v>
      </c>
      <c r="AG157" s="351">
        <v>0</v>
      </c>
      <c r="AH157" s="351">
        <v>0</v>
      </c>
      <c r="AI157" s="348">
        <f>ROUND(0.955*C157*(180+22),2)</f>
        <v>679158.95</v>
      </c>
      <c r="AJ157" s="351">
        <f>ROUND(0.03*(370+1200+180+22+105)*C157,2)</f>
        <v>198244.99</v>
      </c>
      <c r="AK157" s="351">
        <f>ROUND(0.015*(180+22+370+1200+105)*C157,2)</f>
        <v>99122.49</v>
      </c>
      <c r="AL157" s="351">
        <v>0</v>
      </c>
      <c r="AM157" s="351"/>
      <c r="AN157" s="351"/>
    </row>
    <row r="158" spans="1:40" s="19" customFormat="1" ht="9" hidden="1" customHeight="1">
      <c r="A158" s="349">
        <v>143</v>
      </c>
      <c r="B158" s="49" t="s">
        <v>1144</v>
      </c>
      <c r="C158" s="117"/>
      <c r="D158" s="54"/>
      <c r="E158" s="258"/>
      <c r="F158" s="225"/>
      <c r="G158" s="224">
        <f>X158+AJ158+AK158</f>
        <v>3741738</v>
      </c>
      <c r="H158" s="348">
        <f t="shared" si="46"/>
        <v>0</v>
      </c>
      <c r="I158" s="117">
        <v>0</v>
      </c>
      <c r="J158" s="117"/>
      <c r="K158" s="117">
        <v>0</v>
      </c>
      <c r="L158" s="225"/>
      <c r="M158" s="225">
        <v>0</v>
      </c>
      <c r="N158" s="348"/>
      <c r="O158" s="348">
        <v>0</v>
      </c>
      <c r="P158" s="348"/>
      <c r="Q158" s="348">
        <v>0</v>
      </c>
      <c r="R158" s="348"/>
      <c r="S158" s="348">
        <v>0</v>
      </c>
      <c r="T158" s="44">
        <v>0</v>
      </c>
      <c r="U158" s="348">
        <v>0</v>
      </c>
      <c r="V158" s="54" t="s">
        <v>998</v>
      </c>
      <c r="W158" s="348">
        <v>1157</v>
      </c>
      <c r="X158" s="348">
        <f>ROUND(W158*3234*0.955,2)</f>
        <v>3573359.79</v>
      </c>
      <c r="Y158" s="351">
        <v>0</v>
      </c>
      <c r="Z158" s="351">
        <v>0</v>
      </c>
      <c r="AA158" s="351">
        <v>0</v>
      </c>
      <c r="AB158" s="351">
        <v>0</v>
      </c>
      <c r="AC158" s="351">
        <v>0</v>
      </c>
      <c r="AD158" s="351">
        <v>0</v>
      </c>
      <c r="AE158" s="351">
        <v>0</v>
      </c>
      <c r="AF158" s="351">
        <v>0</v>
      </c>
      <c r="AG158" s="351">
        <v>0</v>
      </c>
      <c r="AH158" s="351">
        <v>0</v>
      </c>
      <c r="AI158" s="348">
        <v>0</v>
      </c>
      <c r="AJ158" s="351">
        <f>ROUND(W158*3234*0.03,2)</f>
        <v>112252.14</v>
      </c>
      <c r="AK158" s="351">
        <f>ROUND(W158*3234*0.015,2)</f>
        <v>56126.07</v>
      </c>
      <c r="AL158" s="351">
        <v>0</v>
      </c>
      <c r="AM158" s="351"/>
      <c r="AN158" s="351"/>
    </row>
    <row r="159" spans="1:40" s="19" customFormat="1" ht="9" hidden="1" customHeight="1">
      <c r="A159" s="349">
        <v>144</v>
      </c>
      <c r="B159" s="49" t="s">
        <v>1145</v>
      </c>
      <c r="C159" s="117"/>
      <c r="D159" s="54"/>
      <c r="E159" s="258"/>
      <c r="F159" s="225"/>
      <c r="G159" s="224">
        <f t="shared" ref="G159" si="54">X159+AJ159+AK159</f>
        <v>1701084</v>
      </c>
      <c r="H159" s="348">
        <f t="shared" si="46"/>
        <v>0</v>
      </c>
      <c r="I159" s="117">
        <v>0</v>
      </c>
      <c r="J159" s="117"/>
      <c r="K159" s="117">
        <v>0</v>
      </c>
      <c r="L159" s="225"/>
      <c r="M159" s="225">
        <v>0</v>
      </c>
      <c r="N159" s="348"/>
      <c r="O159" s="348">
        <v>0</v>
      </c>
      <c r="P159" s="348"/>
      <c r="Q159" s="348">
        <v>0</v>
      </c>
      <c r="R159" s="348"/>
      <c r="S159" s="348">
        <v>0</v>
      </c>
      <c r="T159" s="44">
        <v>0</v>
      </c>
      <c r="U159" s="348">
        <v>0</v>
      </c>
      <c r="V159" s="54" t="s">
        <v>998</v>
      </c>
      <c r="W159" s="348">
        <v>526</v>
      </c>
      <c r="X159" s="348">
        <f t="shared" ref="X159" si="55">ROUND(W159*3234*0.955,2)</f>
        <v>1624535.22</v>
      </c>
      <c r="Y159" s="351">
        <v>0</v>
      </c>
      <c r="Z159" s="351">
        <v>0</v>
      </c>
      <c r="AA159" s="351">
        <v>0</v>
      </c>
      <c r="AB159" s="351">
        <v>0</v>
      </c>
      <c r="AC159" s="351">
        <v>0</v>
      </c>
      <c r="AD159" s="351">
        <v>0</v>
      </c>
      <c r="AE159" s="351">
        <v>0</v>
      </c>
      <c r="AF159" s="351">
        <v>0</v>
      </c>
      <c r="AG159" s="351">
        <v>0</v>
      </c>
      <c r="AH159" s="351">
        <v>0</v>
      </c>
      <c r="AI159" s="348">
        <v>0</v>
      </c>
      <c r="AJ159" s="351">
        <f>ROUND(W159*3234*0.03,2)</f>
        <v>51032.52</v>
      </c>
      <c r="AK159" s="351">
        <f t="shared" ref="AK159" si="56">ROUND(W159*3234*0.015,2)</f>
        <v>25516.26</v>
      </c>
      <c r="AL159" s="351">
        <v>0</v>
      </c>
      <c r="AM159" s="351"/>
      <c r="AN159" s="351"/>
    </row>
    <row r="160" spans="1:40" s="19" customFormat="1" ht="9" hidden="1" customHeight="1">
      <c r="A160" s="349">
        <v>145</v>
      </c>
      <c r="B160" s="49" t="s">
        <v>1146</v>
      </c>
      <c r="C160" s="117"/>
      <c r="D160" s="54"/>
      <c r="E160" s="258"/>
      <c r="F160" s="225"/>
      <c r="G160" s="224">
        <f>X160+AJ160+AK160</f>
        <v>5923851.21</v>
      </c>
      <c r="H160" s="348">
        <f t="shared" si="46"/>
        <v>0</v>
      </c>
      <c r="I160" s="117">
        <v>0</v>
      </c>
      <c r="J160" s="117"/>
      <c r="K160" s="117">
        <v>0</v>
      </c>
      <c r="L160" s="225"/>
      <c r="M160" s="225">
        <v>0</v>
      </c>
      <c r="N160" s="348"/>
      <c r="O160" s="348">
        <v>0</v>
      </c>
      <c r="P160" s="348"/>
      <c r="Q160" s="348">
        <v>0</v>
      </c>
      <c r="R160" s="348"/>
      <c r="S160" s="348">
        <v>0</v>
      </c>
      <c r="T160" s="44">
        <v>0</v>
      </c>
      <c r="U160" s="348">
        <v>0</v>
      </c>
      <c r="V160" s="54" t="s">
        <v>997</v>
      </c>
      <c r="W160" s="348">
        <v>1776.8</v>
      </c>
      <c r="X160" s="348">
        <f>ROUND(W160*3334*0.955,2)</f>
        <v>5657277.9000000004</v>
      </c>
      <c r="Y160" s="351">
        <v>0</v>
      </c>
      <c r="Z160" s="351">
        <v>0</v>
      </c>
      <c r="AA160" s="351">
        <v>0</v>
      </c>
      <c r="AB160" s="351">
        <v>0</v>
      </c>
      <c r="AC160" s="351">
        <v>0</v>
      </c>
      <c r="AD160" s="351">
        <v>0</v>
      </c>
      <c r="AE160" s="351">
        <v>0</v>
      </c>
      <c r="AF160" s="351">
        <v>0</v>
      </c>
      <c r="AG160" s="351">
        <v>0</v>
      </c>
      <c r="AH160" s="351">
        <v>0</v>
      </c>
      <c r="AI160" s="348">
        <v>0</v>
      </c>
      <c r="AJ160" s="351">
        <f>ROUND(W160*3334*0.03,2)</f>
        <v>177715.54</v>
      </c>
      <c r="AK160" s="351">
        <f>ROUND(W160*3334*0.015,2)</f>
        <v>88857.77</v>
      </c>
      <c r="AL160" s="351">
        <v>0</v>
      </c>
      <c r="AM160" s="351"/>
      <c r="AN160" s="351"/>
    </row>
    <row r="161" spans="1:40" s="19" customFormat="1" ht="26.25" hidden="1" customHeight="1">
      <c r="A161" s="599" t="s">
        <v>107</v>
      </c>
      <c r="B161" s="599"/>
      <c r="C161" s="348">
        <f>SUM(C16:C157)</f>
        <v>499881.70999999996</v>
      </c>
      <c r="D161" s="349" t="s">
        <v>387</v>
      </c>
      <c r="E161" s="349"/>
      <c r="F161" s="349"/>
      <c r="G161" s="348">
        <f>ROUND(SUM(G16:G160),2)</f>
        <v>526871774.16000003</v>
      </c>
      <c r="H161" s="348">
        <f t="shared" ref="H161:AL161" si="57">SUM(H16:H160)</f>
        <v>38040762.359999999</v>
      </c>
      <c r="I161" s="348">
        <f t="shared" si="57"/>
        <v>5185370.6099999994</v>
      </c>
      <c r="J161" s="348">
        <f t="shared" si="57"/>
        <v>4448</v>
      </c>
      <c r="K161" s="348">
        <f t="shared" si="57"/>
        <v>20447209.460000005</v>
      </c>
      <c r="L161" s="348">
        <f t="shared" si="57"/>
        <v>957.5</v>
      </c>
      <c r="M161" s="348">
        <f t="shared" si="57"/>
        <v>643057.52999999991</v>
      </c>
      <c r="N161" s="348">
        <f t="shared" si="57"/>
        <v>682</v>
      </c>
      <c r="O161" s="348">
        <f t="shared" si="57"/>
        <v>4391211.6000000006</v>
      </c>
      <c r="P161" s="348">
        <f t="shared" si="57"/>
        <v>367</v>
      </c>
      <c r="Q161" s="348">
        <f t="shared" si="57"/>
        <v>2976203.98</v>
      </c>
      <c r="R161" s="348">
        <f t="shared" si="57"/>
        <v>751</v>
      </c>
      <c r="S161" s="348">
        <f t="shared" si="57"/>
        <v>4397709.18</v>
      </c>
      <c r="T161" s="45">
        <f t="shared" si="57"/>
        <v>15</v>
      </c>
      <c r="U161" s="348">
        <f t="shared" si="57"/>
        <v>30718640.200000003</v>
      </c>
      <c r="V161" s="348"/>
      <c r="W161" s="348">
        <f t="shared" si="57"/>
        <v>124972.48000000004</v>
      </c>
      <c r="X161" s="348">
        <f t="shared" ref="X161" si="58">SUM(X16:X160)</f>
        <v>404355992.09715021</v>
      </c>
      <c r="Y161" s="348">
        <f t="shared" ref="Y161" si="59">SUM(Y16:Y160)</f>
        <v>0</v>
      </c>
      <c r="Z161" s="348">
        <f t="shared" si="57"/>
        <v>0</v>
      </c>
      <c r="AA161" s="348">
        <f t="shared" si="57"/>
        <v>8540.619999999999</v>
      </c>
      <c r="AB161" s="348">
        <f t="shared" si="57"/>
        <v>19069571.030000001</v>
      </c>
      <c r="AC161" s="348">
        <f t="shared" si="57"/>
        <v>0</v>
      </c>
      <c r="AD161" s="348">
        <f t="shared" si="57"/>
        <v>0</v>
      </c>
      <c r="AE161" s="348">
        <f t="shared" si="57"/>
        <v>0</v>
      </c>
      <c r="AF161" s="348">
        <f t="shared" si="57"/>
        <v>0</v>
      </c>
      <c r="AG161" s="348">
        <f t="shared" si="57"/>
        <v>0</v>
      </c>
      <c r="AH161" s="348">
        <f t="shared" si="57"/>
        <v>0</v>
      </c>
      <c r="AI161" s="348">
        <f t="shared" si="57"/>
        <v>11342490.77</v>
      </c>
      <c r="AJ161" s="348">
        <f t="shared" si="57"/>
        <v>14906681.019999998</v>
      </c>
      <c r="AK161" s="348">
        <f t="shared" si="57"/>
        <v>8437636.6800000016</v>
      </c>
      <c r="AL161" s="348">
        <f t="shared" si="57"/>
        <v>0</v>
      </c>
      <c r="AM161" s="350"/>
      <c r="AN161" s="350"/>
    </row>
    <row r="162" spans="1:40" s="19" customFormat="1" ht="15.75" hidden="1" customHeight="1">
      <c r="A162" s="502" t="s">
        <v>219</v>
      </c>
      <c r="B162" s="502"/>
      <c r="C162" s="524"/>
      <c r="D162" s="524"/>
      <c r="E162" s="524"/>
      <c r="F162" s="524"/>
      <c r="G162" s="502"/>
      <c r="H162" s="502"/>
      <c r="I162" s="502"/>
      <c r="J162" s="524"/>
      <c r="K162" s="502"/>
      <c r="L162" s="524"/>
      <c r="M162" s="502"/>
      <c r="N162" s="524"/>
      <c r="O162" s="502"/>
      <c r="P162" s="524"/>
      <c r="Q162" s="502"/>
      <c r="R162" s="524"/>
      <c r="S162" s="502"/>
      <c r="T162" s="502"/>
      <c r="U162" s="502"/>
      <c r="V162" s="502"/>
      <c r="W162" s="502"/>
      <c r="X162" s="502"/>
      <c r="Y162" s="502"/>
      <c r="Z162" s="502"/>
      <c r="AA162" s="502"/>
      <c r="AB162" s="502"/>
      <c r="AC162" s="502"/>
      <c r="AD162" s="502"/>
      <c r="AE162" s="502"/>
      <c r="AF162" s="502"/>
      <c r="AG162" s="502"/>
      <c r="AH162" s="502"/>
      <c r="AI162" s="502"/>
      <c r="AJ162" s="502"/>
      <c r="AK162" s="502"/>
      <c r="AL162" s="502"/>
      <c r="AM162" s="524"/>
      <c r="AN162" s="625"/>
    </row>
    <row r="163" spans="1:40" s="352" customFormat="1" ht="9" hidden="1" customHeight="1">
      <c r="A163" s="349">
        <v>146</v>
      </c>
      <c r="B163" s="173" t="s">
        <v>746</v>
      </c>
      <c r="C163" s="234">
        <v>2530.3000000000002</v>
      </c>
      <c r="D163" s="343"/>
      <c r="E163" s="241"/>
      <c r="F163" s="241"/>
      <c r="G163" s="117">
        <f t="shared" ref="G163" si="60">ROUND(H163+U163+X163+Z163+AB163+AD163+AF163+AH163+AI163+AJ163+AK163+AL163,2)</f>
        <v>4168248.77</v>
      </c>
      <c r="H163" s="348">
        <f t="shared" ref="H163:H169" si="61">I163+K163+M163+O163+Q163+S163</f>
        <v>0</v>
      </c>
      <c r="I163" s="177">
        <v>0</v>
      </c>
      <c r="J163" s="177">
        <v>0</v>
      </c>
      <c r="K163" s="177">
        <v>0</v>
      </c>
      <c r="L163" s="177">
        <v>0</v>
      </c>
      <c r="M163" s="177">
        <v>0</v>
      </c>
      <c r="N163" s="348">
        <v>0</v>
      </c>
      <c r="O163" s="348">
        <v>0</v>
      </c>
      <c r="P163" s="348">
        <v>0</v>
      </c>
      <c r="Q163" s="348">
        <v>0</v>
      </c>
      <c r="R163" s="348">
        <v>0</v>
      </c>
      <c r="S163" s="348">
        <v>0</v>
      </c>
      <c r="T163" s="44">
        <v>0</v>
      </c>
      <c r="U163" s="348">
        <v>0</v>
      </c>
      <c r="V163" s="241" t="s">
        <v>998</v>
      </c>
      <c r="W163" s="348">
        <v>1185.3</v>
      </c>
      <c r="X163" s="348">
        <v>3996327.05</v>
      </c>
      <c r="Y163" s="351">
        <v>0</v>
      </c>
      <c r="Z163" s="351">
        <v>0</v>
      </c>
      <c r="AA163" s="351">
        <v>0</v>
      </c>
      <c r="AB163" s="351">
        <v>0</v>
      </c>
      <c r="AC163" s="351">
        <v>0</v>
      </c>
      <c r="AD163" s="351">
        <v>0</v>
      </c>
      <c r="AE163" s="351">
        <v>0</v>
      </c>
      <c r="AF163" s="351">
        <v>0</v>
      </c>
      <c r="AG163" s="351">
        <v>0</v>
      </c>
      <c r="AH163" s="351">
        <v>0</v>
      </c>
      <c r="AI163" s="351">
        <v>0</v>
      </c>
      <c r="AJ163" s="351">
        <v>114422.82</v>
      </c>
      <c r="AK163" s="351">
        <v>57498.9</v>
      </c>
      <c r="AL163" s="351">
        <v>0</v>
      </c>
      <c r="AM163" s="223"/>
      <c r="AN163" s="223"/>
    </row>
    <row r="164" spans="1:40" s="352" customFormat="1" ht="9" hidden="1" customHeight="1">
      <c r="A164" s="349">
        <v>147</v>
      </c>
      <c r="B164" s="173" t="s">
        <v>747</v>
      </c>
      <c r="C164" s="234">
        <v>1510.5</v>
      </c>
      <c r="D164" s="343"/>
      <c r="E164" s="241"/>
      <c r="F164" s="241"/>
      <c r="G164" s="177">
        <f>AB164+AJ164+AK164</f>
        <v>2075139.66</v>
      </c>
      <c r="H164" s="348">
        <f t="shared" si="61"/>
        <v>0</v>
      </c>
      <c r="I164" s="177">
        <v>0</v>
      </c>
      <c r="J164" s="177">
        <v>0</v>
      </c>
      <c r="K164" s="177">
        <v>0</v>
      </c>
      <c r="L164" s="177">
        <v>0</v>
      </c>
      <c r="M164" s="177">
        <v>0</v>
      </c>
      <c r="N164" s="348">
        <v>0</v>
      </c>
      <c r="O164" s="348">
        <v>0</v>
      </c>
      <c r="P164" s="348">
        <v>0</v>
      </c>
      <c r="Q164" s="348">
        <v>0</v>
      </c>
      <c r="R164" s="348">
        <v>0</v>
      </c>
      <c r="S164" s="348">
        <v>0</v>
      </c>
      <c r="T164" s="44">
        <v>0</v>
      </c>
      <c r="U164" s="348">
        <v>0</v>
      </c>
      <c r="V164" s="241"/>
      <c r="W164" s="348">
        <v>0</v>
      </c>
      <c r="X164" s="351">
        <v>0</v>
      </c>
      <c r="Y164" s="351">
        <v>0</v>
      </c>
      <c r="Z164" s="351">
        <v>0</v>
      </c>
      <c r="AA164" s="351">
        <v>957</v>
      </c>
      <c r="AB164" s="351">
        <f>ROUND(0.955*2168.38*AA164,2)</f>
        <v>1981758.38</v>
      </c>
      <c r="AC164" s="351">
        <v>0</v>
      </c>
      <c r="AD164" s="351">
        <v>0</v>
      </c>
      <c r="AE164" s="351">
        <v>0</v>
      </c>
      <c r="AF164" s="351">
        <v>0</v>
      </c>
      <c r="AG164" s="351">
        <v>0</v>
      </c>
      <c r="AH164" s="351">
        <v>0</v>
      </c>
      <c r="AI164" s="351">
        <v>0</v>
      </c>
      <c r="AJ164" s="351">
        <f>ROUND(AB164/0.955*0.03,2)</f>
        <v>62254.19</v>
      </c>
      <c r="AK164" s="351">
        <f>ROUND(AB164/0.955*0.015,2)</f>
        <v>31127.09</v>
      </c>
      <c r="AL164" s="351">
        <v>0</v>
      </c>
      <c r="AM164" s="223"/>
      <c r="AN164" s="223"/>
    </row>
    <row r="165" spans="1:40" s="352" customFormat="1" ht="9" hidden="1" customHeight="1">
      <c r="A165" s="349">
        <v>148</v>
      </c>
      <c r="B165" s="173" t="s">
        <v>748</v>
      </c>
      <c r="C165" s="234">
        <v>1684.6</v>
      </c>
      <c r="D165" s="343"/>
      <c r="E165" s="241"/>
      <c r="F165" s="241"/>
      <c r="G165" s="117">
        <f t="shared" ref="G165:G166" si="62">ROUND(H165+U165+X165+Z165+AB165+AD165+AF165+AH165+AI165+AJ165+AK165+AL165,2)</f>
        <v>3498935.57</v>
      </c>
      <c r="H165" s="348">
        <f t="shared" si="61"/>
        <v>0</v>
      </c>
      <c r="I165" s="177">
        <v>0</v>
      </c>
      <c r="J165" s="177">
        <v>0</v>
      </c>
      <c r="K165" s="177">
        <v>0</v>
      </c>
      <c r="L165" s="177">
        <v>0</v>
      </c>
      <c r="M165" s="177">
        <v>0</v>
      </c>
      <c r="N165" s="348">
        <v>0</v>
      </c>
      <c r="O165" s="348">
        <v>0</v>
      </c>
      <c r="P165" s="348">
        <v>0</v>
      </c>
      <c r="Q165" s="348">
        <v>0</v>
      </c>
      <c r="R165" s="348">
        <v>0</v>
      </c>
      <c r="S165" s="348">
        <v>0</v>
      </c>
      <c r="T165" s="44">
        <v>0</v>
      </c>
      <c r="U165" s="348">
        <v>0</v>
      </c>
      <c r="V165" s="241" t="s">
        <v>998</v>
      </c>
      <c r="W165" s="348">
        <v>930</v>
      </c>
      <c r="X165" s="348">
        <v>3325897</v>
      </c>
      <c r="Y165" s="351">
        <v>0</v>
      </c>
      <c r="Z165" s="351">
        <v>0</v>
      </c>
      <c r="AA165" s="351">
        <v>0</v>
      </c>
      <c r="AB165" s="351">
        <v>0</v>
      </c>
      <c r="AC165" s="351">
        <v>0</v>
      </c>
      <c r="AD165" s="351">
        <v>0</v>
      </c>
      <c r="AE165" s="351">
        <v>0</v>
      </c>
      <c r="AF165" s="351">
        <v>0</v>
      </c>
      <c r="AG165" s="351">
        <v>0</v>
      </c>
      <c r="AH165" s="351">
        <v>0</v>
      </c>
      <c r="AI165" s="351">
        <v>0</v>
      </c>
      <c r="AJ165" s="351">
        <v>115166.14</v>
      </c>
      <c r="AK165" s="351">
        <v>57872.43</v>
      </c>
      <c r="AL165" s="351">
        <v>0</v>
      </c>
      <c r="AM165" s="223"/>
      <c r="AN165" s="223"/>
    </row>
    <row r="166" spans="1:40" s="352" customFormat="1" ht="9" hidden="1" customHeight="1">
      <c r="A166" s="349">
        <v>149</v>
      </c>
      <c r="B166" s="173" t="s">
        <v>1049</v>
      </c>
      <c r="C166" s="234">
        <v>3523.8</v>
      </c>
      <c r="D166" s="343"/>
      <c r="E166" s="241"/>
      <c r="F166" s="241"/>
      <c r="G166" s="117">
        <f t="shared" si="62"/>
        <v>3922059.16</v>
      </c>
      <c r="H166" s="348">
        <f t="shared" si="61"/>
        <v>0</v>
      </c>
      <c r="I166" s="177">
        <v>0</v>
      </c>
      <c r="J166" s="177">
        <v>0</v>
      </c>
      <c r="K166" s="177">
        <v>0</v>
      </c>
      <c r="L166" s="177">
        <v>0</v>
      </c>
      <c r="M166" s="177">
        <v>0</v>
      </c>
      <c r="N166" s="348">
        <v>0</v>
      </c>
      <c r="O166" s="348">
        <v>0</v>
      </c>
      <c r="P166" s="348">
        <v>0</v>
      </c>
      <c r="Q166" s="348">
        <v>0</v>
      </c>
      <c r="R166" s="348">
        <v>0</v>
      </c>
      <c r="S166" s="348">
        <v>0</v>
      </c>
      <c r="T166" s="44">
        <v>0</v>
      </c>
      <c r="U166" s="348">
        <v>0</v>
      </c>
      <c r="V166" s="241" t="s">
        <v>998</v>
      </c>
      <c r="W166" s="348">
        <v>1190</v>
      </c>
      <c r="X166" s="348">
        <v>3749455.73</v>
      </c>
      <c r="Y166" s="351">
        <v>0</v>
      </c>
      <c r="Z166" s="351">
        <v>0</v>
      </c>
      <c r="AA166" s="351">
        <v>0</v>
      </c>
      <c r="AB166" s="351">
        <v>0</v>
      </c>
      <c r="AC166" s="351">
        <v>0</v>
      </c>
      <c r="AD166" s="351">
        <v>0</v>
      </c>
      <c r="AE166" s="351">
        <v>0</v>
      </c>
      <c r="AF166" s="351">
        <v>0</v>
      </c>
      <c r="AG166" s="351">
        <v>0</v>
      </c>
      <c r="AH166" s="351">
        <v>0</v>
      </c>
      <c r="AI166" s="351">
        <v>0</v>
      </c>
      <c r="AJ166" s="351">
        <v>114876.53</v>
      </c>
      <c r="AK166" s="351">
        <v>57726.9</v>
      </c>
      <c r="AL166" s="351">
        <v>0</v>
      </c>
      <c r="AM166" s="223"/>
      <c r="AN166" s="223"/>
    </row>
    <row r="167" spans="1:40" s="352" customFormat="1" ht="9" hidden="1" customHeight="1">
      <c r="A167" s="349">
        <v>150</v>
      </c>
      <c r="B167" s="173" t="s">
        <v>1050</v>
      </c>
      <c r="C167" s="234">
        <v>5924.7</v>
      </c>
      <c r="D167" s="343">
        <v>1003.3</v>
      </c>
      <c r="E167" s="241"/>
      <c r="F167" s="241"/>
      <c r="G167" s="117">
        <f>ROUND(H167+U167+X167+Z167+AB167+AD167+AF167+AH167+AI167+AJ167+AK167+AL167,2)</f>
        <v>7945971.6299999999</v>
      </c>
      <c r="H167" s="348">
        <f>I167+K167+M167+O167+Q167+S167</f>
        <v>7212523.4900000002</v>
      </c>
      <c r="I167" s="117">
        <v>1420089.18</v>
      </c>
      <c r="J167" s="177">
        <v>2497</v>
      </c>
      <c r="K167" s="117">
        <v>2728768.12</v>
      </c>
      <c r="L167" s="117">
        <v>690</v>
      </c>
      <c r="M167" s="117">
        <v>443102.86</v>
      </c>
      <c r="N167" s="348">
        <v>1013</v>
      </c>
      <c r="O167" s="348">
        <v>632079.72</v>
      </c>
      <c r="P167" s="348">
        <v>1947</v>
      </c>
      <c r="Q167" s="348">
        <v>1023746.69</v>
      </c>
      <c r="R167" s="348">
        <v>1262</v>
      </c>
      <c r="S167" s="348">
        <v>964736.92</v>
      </c>
      <c r="T167" s="44">
        <v>0</v>
      </c>
      <c r="U167" s="348">
        <v>0</v>
      </c>
      <c r="V167" s="241"/>
      <c r="W167" s="348">
        <v>0</v>
      </c>
      <c r="X167" s="351">
        <v>0</v>
      </c>
      <c r="Y167" s="351">
        <v>0</v>
      </c>
      <c r="Z167" s="351">
        <v>0</v>
      </c>
      <c r="AA167" s="351">
        <v>0</v>
      </c>
      <c r="AB167" s="351">
        <v>0</v>
      </c>
      <c r="AC167" s="351">
        <v>0</v>
      </c>
      <c r="AD167" s="351">
        <v>0</v>
      </c>
      <c r="AE167" s="351">
        <v>0</v>
      </c>
      <c r="AF167" s="351">
        <v>0</v>
      </c>
      <c r="AG167" s="351">
        <v>0</v>
      </c>
      <c r="AH167" s="351">
        <v>0</v>
      </c>
      <c r="AI167" s="351">
        <v>0</v>
      </c>
      <c r="AJ167" s="351">
        <v>507057.05</v>
      </c>
      <c r="AK167" s="351">
        <v>226391.09</v>
      </c>
      <c r="AL167" s="351">
        <v>0</v>
      </c>
      <c r="AM167" s="223"/>
      <c r="AN167" s="223"/>
    </row>
    <row r="168" spans="1:40" s="352" customFormat="1" ht="9" hidden="1" customHeight="1">
      <c r="A168" s="349">
        <v>151</v>
      </c>
      <c r="B168" s="173" t="s">
        <v>227</v>
      </c>
      <c r="C168" s="234">
        <v>634.79999999999995</v>
      </c>
      <c r="D168" s="234"/>
      <c r="E168" s="241"/>
      <c r="F168" s="241"/>
      <c r="G168" s="177">
        <v>1106278.29</v>
      </c>
      <c r="H168" s="348">
        <f t="shared" si="61"/>
        <v>0</v>
      </c>
      <c r="I168" s="177">
        <v>0</v>
      </c>
      <c r="J168" s="177">
        <v>0</v>
      </c>
      <c r="K168" s="177">
        <v>0</v>
      </c>
      <c r="L168" s="177">
        <v>0</v>
      </c>
      <c r="M168" s="177">
        <v>0</v>
      </c>
      <c r="N168" s="348">
        <v>0</v>
      </c>
      <c r="O168" s="348">
        <v>0</v>
      </c>
      <c r="P168" s="348">
        <v>0</v>
      </c>
      <c r="Q168" s="348">
        <v>0</v>
      </c>
      <c r="R168" s="348">
        <v>0</v>
      </c>
      <c r="S168" s="348">
        <v>0</v>
      </c>
      <c r="T168" s="44">
        <v>0</v>
      </c>
      <c r="U168" s="348">
        <v>0</v>
      </c>
      <c r="V168" s="241"/>
      <c r="W168" s="348">
        <v>364</v>
      </c>
      <c r="X168" s="351">
        <f>1106278.29*95.5/100</f>
        <v>1056495.7669500001</v>
      </c>
      <c r="Y168" s="351">
        <v>0</v>
      </c>
      <c r="Z168" s="351">
        <v>0</v>
      </c>
      <c r="AA168" s="351">
        <v>0</v>
      </c>
      <c r="AB168" s="351">
        <v>0</v>
      </c>
      <c r="AC168" s="351">
        <v>0</v>
      </c>
      <c r="AD168" s="351">
        <v>0</v>
      </c>
      <c r="AE168" s="351">
        <v>0</v>
      </c>
      <c r="AF168" s="351">
        <v>0</v>
      </c>
      <c r="AG168" s="351">
        <v>0</v>
      </c>
      <c r="AH168" s="351">
        <v>0</v>
      </c>
      <c r="AI168" s="351">
        <v>0</v>
      </c>
      <c r="AJ168" s="351">
        <f>ROUND(X168/95.5*3,2)</f>
        <v>33188.35</v>
      </c>
      <c r="AK168" s="351">
        <f>ROUND(X168/95.5*1.5,2)</f>
        <v>16594.169999999998</v>
      </c>
      <c r="AL168" s="351">
        <v>0</v>
      </c>
      <c r="AM168" s="223"/>
      <c r="AN168" s="223"/>
    </row>
    <row r="169" spans="1:40" s="352" customFormat="1" ht="9" hidden="1" customHeight="1">
      <c r="A169" s="349">
        <v>152</v>
      </c>
      <c r="B169" s="173" t="s">
        <v>1029</v>
      </c>
      <c r="C169" s="234">
        <v>2829.6</v>
      </c>
      <c r="D169" s="234"/>
      <c r="E169" s="241"/>
      <c r="F169" s="241"/>
      <c r="G169" s="177">
        <v>857510.28</v>
      </c>
      <c r="H169" s="348">
        <f t="shared" si="61"/>
        <v>857510.28</v>
      </c>
      <c r="I169" s="177">
        <v>0</v>
      </c>
      <c r="J169" s="177">
        <v>0</v>
      </c>
      <c r="K169" s="177">
        <v>0</v>
      </c>
      <c r="L169" s="177">
        <v>0</v>
      </c>
      <c r="M169" s="177">
        <v>857510.28</v>
      </c>
      <c r="N169" s="348">
        <v>0</v>
      </c>
      <c r="O169" s="348">
        <v>0</v>
      </c>
      <c r="P169" s="348">
        <v>0</v>
      </c>
      <c r="Q169" s="348">
        <v>0</v>
      </c>
      <c r="R169" s="348">
        <v>0</v>
      </c>
      <c r="S169" s="348">
        <v>0</v>
      </c>
      <c r="T169" s="44">
        <v>0</v>
      </c>
      <c r="U169" s="348">
        <v>0</v>
      </c>
      <c r="V169" s="241"/>
      <c r="W169" s="348">
        <v>0</v>
      </c>
      <c r="X169" s="351">
        <v>0</v>
      </c>
      <c r="Y169" s="351">
        <v>0</v>
      </c>
      <c r="Z169" s="351">
        <v>0</v>
      </c>
      <c r="AA169" s="351">
        <v>0</v>
      </c>
      <c r="AB169" s="351">
        <v>0</v>
      </c>
      <c r="AC169" s="351">
        <v>0</v>
      </c>
      <c r="AD169" s="351">
        <v>0</v>
      </c>
      <c r="AE169" s="351">
        <v>0</v>
      </c>
      <c r="AF169" s="351">
        <v>0</v>
      </c>
      <c r="AG169" s="351">
        <v>0</v>
      </c>
      <c r="AH169" s="351">
        <v>0</v>
      </c>
      <c r="AI169" s="351">
        <v>0</v>
      </c>
      <c r="AJ169" s="351">
        <v>0</v>
      </c>
      <c r="AK169" s="351">
        <v>0</v>
      </c>
      <c r="AL169" s="351">
        <v>0</v>
      </c>
      <c r="AM169" s="223"/>
      <c r="AN169" s="223"/>
    </row>
    <row r="170" spans="1:40" s="19" customFormat="1" ht="24.75" hidden="1" customHeight="1">
      <c r="A170" s="624" t="s">
        <v>220</v>
      </c>
      <c r="B170" s="624"/>
      <c r="C170" s="242">
        <f>SUM(C163:C169)</f>
        <v>18638.3</v>
      </c>
      <c r="D170" s="349" t="s">
        <v>387</v>
      </c>
      <c r="E170" s="242"/>
      <c r="F170" s="242"/>
      <c r="G170" s="242">
        <f>ROUND(SUM(G163:G169),2)</f>
        <v>23574143.359999999</v>
      </c>
      <c r="H170" s="242">
        <f t="shared" ref="H170:AL170" si="63">SUM(H163:H169)</f>
        <v>8070033.7700000005</v>
      </c>
      <c r="I170" s="242">
        <f t="shared" si="63"/>
        <v>1420089.18</v>
      </c>
      <c r="J170" s="242">
        <f t="shared" si="63"/>
        <v>2497</v>
      </c>
      <c r="K170" s="242">
        <f t="shared" si="63"/>
        <v>2728768.12</v>
      </c>
      <c r="L170" s="242">
        <f t="shared" si="63"/>
        <v>690</v>
      </c>
      <c r="M170" s="242">
        <f t="shared" si="63"/>
        <v>1300613.1400000001</v>
      </c>
      <c r="N170" s="242">
        <f t="shared" si="63"/>
        <v>1013</v>
      </c>
      <c r="O170" s="242">
        <f t="shared" si="63"/>
        <v>632079.72</v>
      </c>
      <c r="P170" s="242">
        <f t="shared" si="63"/>
        <v>1947</v>
      </c>
      <c r="Q170" s="242">
        <f t="shared" si="63"/>
        <v>1023746.69</v>
      </c>
      <c r="R170" s="242">
        <f t="shared" si="63"/>
        <v>1262</v>
      </c>
      <c r="S170" s="242">
        <f t="shared" si="63"/>
        <v>964736.92</v>
      </c>
      <c r="T170" s="245">
        <f t="shared" si="63"/>
        <v>0</v>
      </c>
      <c r="U170" s="242">
        <f t="shared" si="63"/>
        <v>0</v>
      </c>
      <c r="V170" s="242" t="s">
        <v>387</v>
      </c>
      <c r="W170" s="242">
        <f t="shared" si="63"/>
        <v>3669.3</v>
      </c>
      <c r="X170" s="242">
        <f t="shared" si="63"/>
        <v>12128175.546949999</v>
      </c>
      <c r="Y170" s="242">
        <f t="shared" si="63"/>
        <v>0</v>
      </c>
      <c r="Z170" s="242">
        <f t="shared" si="63"/>
        <v>0</v>
      </c>
      <c r="AA170" s="242">
        <f t="shared" si="63"/>
        <v>957</v>
      </c>
      <c r="AB170" s="242">
        <f t="shared" si="63"/>
        <v>1981758.38</v>
      </c>
      <c r="AC170" s="242">
        <f t="shared" si="63"/>
        <v>0</v>
      </c>
      <c r="AD170" s="242">
        <f t="shared" si="63"/>
        <v>0</v>
      </c>
      <c r="AE170" s="242">
        <f t="shared" si="63"/>
        <v>0</v>
      </c>
      <c r="AF170" s="242">
        <f t="shared" si="63"/>
        <v>0</v>
      </c>
      <c r="AG170" s="242">
        <f t="shared" si="63"/>
        <v>0</v>
      </c>
      <c r="AH170" s="242">
        <f t="shared" si="63"/>
        <v>0</v>
      </c>
      <c r="AI170" s="242">
        <f t="shared" si="63"/>
        <v>0</v>
      </c>
      <c r="AJ170" s="242">
        <f t="shared" si="63"/>
        <v>946965.08</v>
      </c>
      <c r="AK170" s="242">
        <f t="shared" si="63"/>
        <v>447210.58</v>
      </c>
      <c r="AL170" s="242">
        <f t="shared" si="63"/>
        <v>0</v>
      </c>
      <c r="AM170" s="243"/>
      <c r="AN170" s="243"/>
    </row>
    <row r="171" spans="1:40" s="19" customFormat="1" ht="12.75" hidden="1" customHeight="1">
      <c r="A171" s="519" t="s">
        <v>229</v>
      </c>
      <c r="B171" s="520"/>
      <c r="C171" s="520"/>
      <c r="D171" s="520"/>
      <c r="E171" s="520"/>
      <c r="F171" s="520"/>
      <c r="G171" s="520"/>
      <c r="H171" s="520"/>
      <c r="I171" s="520"/>
      <c r="J171" s="520"/>
      <c r="K171" s="520"/>
      <c r="L171" s="520"/>
      <c r="M171" s="520"/>
      <c r="N171" s="520"/>
      <c r="O171" s="520"/>
      <c r="P171" s="520"/>
      <c r="Q171" s="520"/>
      <c r="R171" s="520"/>
      <c r="S171" s="520"/>
      <c r="T171" s="520"/>
      <c r="U171" s="520"/>
      <c r="V171" s="520"/>
      <c r="W171" s="520"/>
      <c r="X171" s="520"/>
      <c r="Y171" s="520"/>
      <c r="Z171" s="520"/>
      <c r="AA171" s="520"/>
      <c r="AB171" s="520"/>
      <c r="AC171" s="520"/>
      <c r="AD171" s="520"/>
      <c r="AE171" s="520"/>
      <c r="AF171" s="520"/>
      <c r="AG171" s="520"/>
      <c r="AH171" s="520"/>
      <c r="AI171" s="520"/>
      <c r="AJ171" s="520"/>
      <c r="AK171" s="520"/>
      <c r="AL171" s="520"/>
      <c r="AM171" s="520"/>
      <c r="AN171" s="521"/>
    </row>
    <row r="172" spans="1:40" s="19" customFormat="1" ht="9" hidden="1" customHeight="1">
      <c r="A172" s="349">
        <v>153</v>
      </c>
      <c r="B172" s="125" t="s">
        <v>759</v>
      </c>
      <c r="C172" s="129">
        <v>3936.1</v>
      </c>
      <c r="D172" s="126"/>
      <c r="E172" s="127"/>
      <c r="F172" s="247"/>
      <c r="G172" s="117">
        <f t="shared" ref="G172:G173" si="64">ROUND(H172+U172+X172+Z172+AB172+AD172+AF172+AH172+AI172+AJ172+AK172+AL172,2)</f>
        <v>4064267.2</v>
      </c>
      <c r="H172" s="348">
        <f t="shared" ref="H172:H184" si="65">I172+K172+M172+O172+Q172+S172</f>
        <v>0</v>
      </c>
      <c r="I172" s="129">
        <v>0</v>
      </c>
      <c r="J172" s="129">
        <v>0</v>
      </c>
      <c r="K172" s="129">
        <v>0</v>
      </c>
      <c r="L172" s="129">
        <v>0</v>
      </c>
      <c r="M172" s="129">
        <v>0</v>
      </c>
      <c r="N172" s="348">
        <v>0</v>
      </c>
      <c r="O172" s="348">
        <v>0</v>
      </c>
      <c r="P172" s="348">
        <v>0</v>
      </c>
      <c r="Q172" s="348">
        <v>0</v>
      </c>
      <c r="R172" s="348">
        <v>0</v>
      </c>
      <c r="S172" s="348">
        <v>0</v>
      </c>
      <c r="T172" s="44">
        <v>0</v>
      </c>
      <c r="U172" s="348">
        <v>0</v>
      </c>
      <c r="V172" s="127" t="s">
        <v>997</v>
      </c>
      <c r="W172" s="348">
        <v>1131</v>
      </c>
      <c r="X172" s="348">
        <v>3895148.88</v>
      </c>
      <c r="Y172" s="351">
        <v>0</v>
      </c>
      <c r="Z172" s="351">
        <v>0</v>
      </c>
      <c r="AA172" s="351">
        <v>0</v>
      </c>
      <c r="AB172" s="351">
        <v>0</v>
      </c>
      <c r="AC172" s="351">
        <v>0</v>
      </c>
      <c r="AD172" s="351">
        <v>0</v>
      </c>
      <c r="AE172" s="351">
        <v>0</v>
      </c>
      <c r="AF172" s="351">
        <v>0</v>
      </c>
      <c r="AG172" s="351">
        <v>0</v>
      </c>
      <c r="AH172" s="351">
        <v>0</v>
      </c>
      <c r="AI172" s="351">
        <v>0</v>
      </c>
      <c r="AJ172" s="351">
        <v>112557.01</v>
      </c>
      <c r="AK172" s="351">
        <v>56561.31</v>
      </c>
      <c r="AL172" s="351">
        <v>0</v>
      </c>
      <c r="AM172" s="351"/>
      <c r="AN172" s="351"/>
    </row>
    <row r="173" spans="1:40" s="19" customFormat="1" ht="9" hidden="1" customHeight="1">
      <c r="A173" s="349">
        <v>154</v>
      </c>
      <c r="B173" s="125" t="s">
        <v>760</v>
      </c>
      <c r="C173" s="129">
        <v>2892.3</v>
      </c>
      <c r="D173" s="126"/>
      <c r="E173" s="127"/>
      <c r="F173" s="247"/>
      <c r="G173" s="117">
        <f t="shared" si="64"/>
        <v>2524419.2200000002</v>
      </c>
      <c r="H173" s="348">
        <f t="shared" si="65"/>
        <v>0</v>
      </c>
      <c r="I173" s="129">
        <v>0</v>
      </c>
      <c r="J173" s="129">
        <v>0</v>
      </c>
      <c r="K173" s="129">
        <v>0</v>
      </c>
      <c r="L173" s="129">
        <v>0</v>
      </c>
      <c r="M173" s="129">
        <v>0</v>
      </c>
      <c r="N173" s="348">
        <v>0</v>
      </c>
      <c r="O173" s="348">
        <v>0</v>
      </c>
      <c r="P173" s="348">
        <v>0</v>
      </c>
      <c r="Q173" s="348">
        <v>0</v>
      </c>
      <c r="R173" s="348">
        <v>0</v>
      </c>
      <c r="S173" s="348">
        <v>0</v>
      </c>
      <c r="T173" s="44">
        <v>0</v>
      </c>
      <c r="U173" s="348">
        <v>0</v>
      </c>
      <c r="V173" s="127" t="s">
        <v>997</v>
      </c>
      <c r="W173" s="348">
        <v>774.36</v>
      </c>
      <c r="X173" s="348">
        <v>2416339</v>
      </c>
      <c r="Y173" s="351">
        <v>0</v>
      </c>
      <c r="Z173" s="351">
        <v>0</v>
      </c>
      <c r="AA173" s="351">
        <v>0</v>
      </c>
      <c r="AB173" s="351">
        <v>0</v>
      </c>
      <c r="AC173" s="351">
        <v>0</v>
      </c>
      <c r="AD173" s="351">
        <v>0</v>
      </c>
      <c r="AE173" s="351">
        <v>0</v>
      </c>
      <c r="AF173" s="351">
        <v>0</v>
      </c>
      <c r="AG173" s="351">
        <v>0</v>
      </c>
      <c r="AH173" s="351">
        <v>0</v>
      </c>
      <c r="AI173" s="351">
        <v>0</v>
      </c>
      <c r="AJ173" s="351">
        <v>71932.990000000005</v>
      </c>
      <c r="AK173" s="351">
        <v>36147.230000000003</v>
      </c>
      <c r="AL173" s="351">
        <v>0</v>
      </c>
      <c r="AM173" s="351"/>
      <c r="AN173" s="351"/>
    </row>
    <row r="174" spans="1:40" s="19" customFormat="1" ht="9" hidden="1" customHeight="1">
      <c r="A174" s="349">
        <v>155</v>
      </c>
      <c r="B174" s="125" t="s">
        <v>761</v>
      </c>
      <c r="C174" s="129">
        <v>4096.3999999999996</v>
      </c>
      <c r="D174" s="126"/>
      <c r="E174" s="127"/>
      <c r="F174" s="247"/>
      <c r="G174" s="129">
        <f>H174+AI174+AJ174+AK174</f>
        <v>1851572.8</v>
      </c>
      <c r="H174" s="348">
        <f t="shared" si="65"/>
        <v>1682186.67</v>
      </c>
      <c r="I174" s="129">
        <v>0</v>
      </c>
      <c r="J174" s="129">
        <v>0</v>
      </c>
      <c r="K174" s="129">
        <v>0</v>
      </c>
      <c r="L174" s="129">
        <v>0</v>
      </c>
      <c r="M174" s="129">
        <v>0</v>
      </c>
      <c r="N174" s="348">
        <v>406</v>
      </c>
      <c r="O174" s="348">
        <f>ROUND(0.955*(C174*210)+0.01,2)</f>
        <v>821533.03</v>
      </c>
      <c r="P174" s="348">
        <v>0</v>
      </c>
      <c r="Q174" s="348">
        <v>0</v>
      </c>
      <c r="R174" s="348">
        <v>526</v>
      </c>
      <c r="S174" s="348">
        <f>ROUND(0.955*(C174*220),2)</f>
        <v>860653.64</v>
      </c>
      <c r="T174" s="44">
        <v>0</v>
      </c>
      <c r="U174" s="348">
        <v>0</v>
      </c>
      <c r="V174" s="127"/>
      <c r="W174" s="348">
        <v>0</v>
      </c>
      <c r="X174" s="348">
        <v>0</v>
      </c>
      <c r="Y174" s="351">
        <v>0</v>
      </c>
      <c r="Z174" s="351">
        <v>0</v>
      </c>
      <c r="AA174" s="351">
        <v>0</v>
      </c>
      <c r="AB174" s="351">
        <v>0</v>
      </c>
      <c r="AC174" s="351">
        <v>0</v>
      </c>
      <c r="AD174" s="351">
        <v>0</v>
      </c>
      <c r="AE174" s="351">
        <v>0</v>
      </c>
      <c r="AF174" s="351">
        <v>0</v>
      </c>
      <c r="AG174" s="351">
        <v>0</v>
      </c>
      <c r="AH174" s="351">
        <v>0</v>
      </c>
      <c r="AI174" s="351">
        <f>ROUND((0.955*C174*22),2)</f>
        <v>86065.36</v>
      </c>
      <c r="AJ174" s="351">
        <f>ROUND(0.03*(210+220+22)*C174,2)</f>
        <v>55547.18</v>
      </c>
      <c r="AK174" s="351">
        <f>ROUND(0.015*(210+220+22)*C174,2)</f>
        <v>27773.59</v>
      </c>
      <c r="AL174" s="351">
        <v>0</v>
      </c>
      <c r="AM174" s="351"/>
      <c r="AN174" s="351"/>
    </row>
    <row r="175" spans="1:40" s="19" customFormat="1" ht="9" hidden="1" customHeight="1">
      <c r="A175" s="349">
        <v>156</v>
      </c>
      <c r="B175" s="125" t="s">
        <v>762</v>
      </c>
      <c r="C175" s="129">
        <v>3701.7</v>
      </c>
      <c r="D175" s="126"/>
      <c r="E175" s="127"/>
      <c r="F175" s="247"/>
      <c r="G175" s="117">
        <f t="shared" ref="G175:G182" si="66">ROUND(H175+U175+X175+Z175+AB175+AD175+AF175+AH175+AI175+AJ175+AK175+AL175,2)</f>
        <v>3135483.45</v>
      </c>
      <c r="H175" s="348">
        <f t="shared" si="65"/>
        <v>0</v>
      </c>
      <c r="I175" s="129">
        <v>0</v>
      </c>
      <c r="J175" s="129">
        <v>0</v>
      </c>
      <c r="K175" s="129">
        <v>0</v>
      </c>
      <c r="L175" s="129">
        <v>0</v>
      </c>
      <c r="M175" s="129">
        <v>0</v>
      </c>
      <c r="N175" s="348">
        <v>0</v>
      </c>
      <c r="O175" s="348">
        <v>0</v>
      </c>
      <c r="P175" s="348">
        <v>0</v>
      </c>
      <c r="Q175" s="348">
        <v>0</v>
      </c>
      <c r="R175" s="348">
        <v>0</v>
      </c>
      <c r="S175" s="348">
        <v>0</v>
      </c>
      <c r="T175" s="44">
        <v>0</v>
      </c>
      <c r="U175" s="348">
        <v>0</v>
      </c>
      <c r="V175" s="127" t="s">
        <v>997</v>
      </c>
      <c r="W175" s="348">
        <v>960</v>
      </c>
      <c r="X175" s="348">
        <v>3001714</v>
      </c>
      <c r="Y175" s="351">
        <v>0</v>
      </c>
      <c r="Z175" s="351">
        <v>0</v>
      </c>
      <c r="AA175" s="351">
        <v>0</v>
      </c>
      <c r="AB175" s="351">
        <v>0</v>
      </c>
      <c r="AC175" s="351">
        <v>0</v>
      </c>
      <c r="AD175" s="351">
        <v>0</v>
      </c>
      <c r="AE175" s="351">
        <v>0</v>
      </c>
      <c r="AF175" s="351">
        <v>0</v>
      </c>
      <c r="AG175" s="351">
        <v>0</v>
      </c>
      <c r="AH175" s="351">
        <v>0</v>
      </c>
      <c r="AI175" s="351">
        <v>0</v>
      </c>
      <c r="AJ175" s="351">
        <v>89030.5</v>
      </c>
      <c r="AK175" s="351">
        <v>44738.95</v>
      </c>
      <c r="AL175" s="351">
        <v>0</v>
      </c>
      <c r="AM175" s="351"/>
      <c r="AN175" s="351"/>
    </row>
    <row r="176" spans="1:40" s="19" customFormat="1" ht="9" hidden="1" customHeight="1">
      <c r="A176" s="349">
        <v>157</v>
      </c>
      <c r="B176" s="125" t="s">
        <v>763</v>
      </c>
      <c r="C176" s="129">
        <v>1344.9</v>
      </c>
      <c r="D176" s="126"/>
      <c r="E176" s="127"/>
      <c r="F176" s="247"/>
      <c r="G176" s="117">
        <f t="shared" si="66"/>
        <v>1218349.8600000001</v>
      </c>
      <c r="H176" s="348">
        <f t="shared" si="65"/>
        <v>0</v>
      </c>
      <c r="I176" s="129">
        <v>0</v>
      </c>
      <c r="J176" s="129">
        <v>0</v>
      </c>
      <c r="K176" s="129">
        <v>0</v>
      </c>
      <c r="L176" s="129">
        <v>0</v>
      </c>
      <c r="M176" s="129">
        <v>0</v>
      </c>
      <c r="N176" s="348">
        <v>0</v>
      </c>
      <c r="O176" s="348">
        <v>0</v>
      </c>
      <c r="P176" s="348">
        <v>0</v>
      </c>
      <c r="Q176" s="348">
        <v>0</v>
      </c>
      <c r="R176" s="348">
        <v>0</v>
      </c>
      <c r="S176" s="348">
        <v>0</v>
      </c>
      <c r="T176" s="44">
        <v>0</v>
      </c>
      <c r="U176" s="348">
        <v>0</v>
      </c>
      <c r="V176" s="127" t="s">
        <v>998</v>
      </c>
      <c r="W176" s="348">
        <v>347</v>
      </c>
      <c r="X176" s="348">
        <v>1149743.6200000001</v>
      </c>
      <c r="Y176" s="351">
        <v>0</v>
      </c>
      <c r="Z176" s="351">
        <v>0</v>
      </c>
      <c r="AA176" s="351">
        <v>0</v>
      </c>
      <c r="AB176" s="351">
        <v>0</v>
      </c>
      <c r="AC176" s="351">
        <v>0</v>
      </c>
      <c r="AD176" s="351">
        <v>0</v>
      </c>
      <c r="AE176" s="351">
        <v>0</v>
      </c>
      <c r="AF176" s="351">
        <v>0</v>
      </c>
      <c r="AG176" s="351">
        <v>0</v>
      </c>
      <c r="AH176" s="351">
        <v>0</v>
      </c>
      <c r="AI176" s="351">
        <v>0</v>
      </c>
      <c r="AJ176" s="351">
        <v>45661.01</v>
      </c>
      <c r="AK176" s="351">
        <v>22945.23</v>
      </c>
      <c r="AL176" s="351">
        <v>0</v>
      </c>
      <c r="AM176" s="351"/>
      <c r="AN176" s="351"/>
    </row>
    <row r="177" spans="1:40" s="19" customFormat="1" ht="9" hidden="1" customHeight="1">
      <c r="A177" s="349">
        <v>158</v>
      </c>
      <c r="B177" s="125" t="s">
        <v>764</v>
      </c>
      <c r="C177" s="129">
        <v>3203</v>
      </c>
      <c r="D177" s="119"/>
      <c r="E177" s="127"/>
      <c r="F177" s="247"/>
      <c r="G177" s="117">
        <f t="shared" si="66"/>
        <v>3040799.69</v>
      </c>
      <c r="H177" s="348">
        <f t="shared" si="65"/>
        <v>0</v>
      </c>
      <c r="I177" s="129">
        <v>0</v>
      </c>
      <c r="J177" s="129">
        <v>0</v>
      </c>
      <c r="K177" s="129">
        <v>0</v>
      </c>
      <c r="L177" s="129">
        <v>0</v>
      </c>
      <c r="M177" s="129">
        <v>0</v>
      </c>
      <c r="N177" s="348">
        <v>0</v>
      </c>
      <c r="O177" s="348">
        <v>0</v>
      </c>
      <c r="P177" s="348">
        <v>0</v>
      </c>
      <c r="Q177" s="348">
        <v>0</v>
      </c>
      <c r="R177" s="348">
        <v>0</v>
      </c>
      <c r="S177" s="348">
        <v>0</v>
      </c>
      <c r="T177" s="44">
        <v>0</v>
      </c>
      <c r="U177" s="348">
        <v>0</v>
      </c>
      <c r="V177" s="127" t="s">
        <v>997</v>
      </c>
      <c r="W177" s="348">
        <v>936.57</v>
      </c>
      <c r="X177" s="348">
        <v>2882298</v>
      </c>
      <c r="Y177" s="351">
        <v>0</v>
      </c>
      <c r="Z177" s="351">
        <v>0</v>
      </c>
      <c r="AA177" s="351">
        <v>0</v>
      </c>
      <c r="AB177" s="351">
        <v>0</v>
      </c>
      <c r="AC177" s="351">
        <v>0</v>
      </c>
      <c r="AD177" s="351">
        <v>0</v>
      </c>
      <c r="AE177" s="351">
        <v>0</v>
      </c>
      <c r="AF177" s="351">
        <v>0</v>
      </c>
      <c r="AG177" s="351">
        <v>0</v>
      </c>
      <c r="AH177" s="351">
        <v>0</v>
      </c>
      <c r="AI177" s="351">
        <v>0</v>
      </c>
      <c r="AJ177" s="351">
        <v>105491.09</v>
      </c>
      <c r="AK177" s="351">
        <v>53010.6</v>
      </c>
      <c r="AL177" s="351">
        <v>0</v>
      </c>
      <c r="AM177" s="351"/>
      <c r="AN177" s="351"/>
    </row>
    <row r="178" spans="1:40" s="19" customFormat="1" ht="9" hidden="1" customHeight="1">
      <c r="A178" s="349">
        <v>159</v>
      </c>
      <c r="B178" s="125" t="s">
        <v>765</v>
      </c>
      <c r="C178" s="129">
        <v>1271</v>
      </c>
      <c r="D178" s="119"/>
      <c r="E178" s="127"/>
      <c r="F178" s="247"/>
      <c r="G178" s="117">
        <f t="shared" si="66"/>
        <v>1904017.94</v>
      </c>
      <c r="H178" s="348">
        <f t="shared" si="65"/>
        <v>0</v>
      </c>
      <c r="I178" s="129">
        <v>0</v>
      </c>
      <c r="J178" s="129">
        <v>0</v>
      </c>
      <c r="K178" s="129">
        <v>0</v>
      </c>
      <c r="L178" s="129">
        <v>0</v>
      </c>
      <c r="M178" s="129">
        <v>0</v>
      </c>
      <c r="N178" s="348">
        <v>0</v>
      </c>
      <c r="O178" s="348">
        <v>0</v>
      </c>
      <c r="P178" s="348">
        <v>0</v>
      </c>
      <c r="Q178" s="348">
        <v>0</v>
      </c>
      <c r="R178" s="348">
        <v>0</v>
      </c>
      <c r="S178" s="348">
        <v>0</v>
      </c>
      <c r="T178" s="44">
        <v>0</v>
      </c>
      <c r="U178" s="348">
        <v>0</v>
      </c>
      <c r="V178" s="127" t="s">
        <v>997</v>
      </c>
      <c r="W178" s="348">
        <v>608</v>
      </c>
      <c r="X178" s="348">
        <v>1814300</v>
      </c>
      <c r="Y178" s="351">
        <v>0</v>
      </c>
      <c r="Z178" s="351">
        <v>0</v>
      </c>
      <c r="AA178" s="351">
        <v>0</v>
      </c>
      <c r="AB178" s="351">
        <v>0</v>
      </c>
      <c r="AC178" s="351">
        <v>0</v>
      </c>
      <c r="AD178" s="351">
        <v>0</v>
      </c>
      <c r="AE178" s="351">
        <v>0</v>
      </c>
      <c r="AF178" s="351">
        <v>0</v>
      </c>
      <c r="AG178" s="351">
        <v>0</v>
      </c>
      <c r="AH178" s="351">
        <v>0</v>
      </c>
      <c r="AI178" s="351">
        <v>0</v>
      </c>
      <c r="AJ178" s="351">
        <v>59711.94</v>
      </c>
      <c r="AK178" s="351">
        <v>30006</v>
      </c>
      <c r="AL178" s="351">
        <v>0</v>
      </c>
      <c r="AM178" s="351"/>
      <c r="AN178" s="351"/>
    </row>
    <row r="179" spans="1:40" s="19" customFormat="1" ht="9" hidden="1" customHeight="1">
      <c r="A179" s="349">
        <v>160</v>
      </c>
      <c r="B179" s="125" t="s">
        <v>766</v>
      </c>
      <c r="C179" s="129">
        <v>4444.8</v>
      </c>
      <c r="D179" s="119"/>
      <c r="E179" s="127"/>
      <c r="F179" s="247"/>
      <c r="G179" s="117">
        <f t="shared" si="66"/>
        <v>4835168.54</v>
      </c>
      <c r="H179" s="348">
        <f t="shared" si="65"/>
        <v>0</v>
      </c>
      <c r="I179" s="129">
        <v>0</v>
      </c>
      <c r="J179" s="129">
        <v>0</v>
      </c>
      <c r="K179" s="129">
        <v>0</v>
      </c>
      <c r="L179" s="129">
        <v>0</v>
      </c>
      <c r="M179" s="129">
        <v>0</v>
      </c>
      <c r="N179" s="348">
        <v>0</v>
      </c>
      <c r="O179" s="348">
        <v>0</v>
      </c>
      <c r="P179" s="348">
        <v>0</v>
      </c>
      <c r="Q179" s="348">
        <v>0</v>
      </c>
      <c r="R179" s="348">
        <v>0</v>
      </c>
      <c r="S179" s="348">
        <v>0</v>
      </c>
      <c r="T179" s="44">
        <v>0</v>
      </c>
      <c r="U179" s="348">
        <v>0</v>
      </c>
      <c r="V179" s="127" t="s">
        <v>997</v>
      </c>
      <c r="W179" s="348">
        <v>1346</v>
      </c>
      <c r="X179" s="348">
        <v>4633901.29</v>
      </c>
      <c r="Y179" s="351">
        <v>0</v>
      </c>
      <c r="Z179" s="351">
        <v>0</v>
      </c>
      <c r="AA179" s="351">
        <v>0</v>
      </c>
      <c r="AB179" s="351">
        <v>0</v>
      </c>
      <c r="AC179" s="351">
        <v>0</v>
      </c>
      <c r="AD179" s="351">
        <v>0</v>
      </c>
      <c r="AE179" s="351">
        <v>0</v>
      </c>
      <c r="AF179" s="351">
        <v>0</v>
      </c>
      <c r="AG179" s="351">
        <v>0</v>
      </c>
      <c r="AH179" s="351">
        <v>0</v>
      </c>
      <c r="AI179" s="351">
        <v>0</v>
      </c>
      <c r="AJ179" s="351">
        <v>133953.79</v>
      </c>
      <c r="AK179" s="351">
        <v>67313.460000000006</v>
      </c>
      <c r="AL179" s="351">
        <v>0</v>
      </c>
      <c r="AM179" s="351"/>
      <c r="AN179" s="351"/>
    </row>
    <row r="180" spans="1:40" s="19" customFormat="1" ht="9" hidden="1" customHeight="1">
      <c r="A180" s="349">
        <v>161</v>
      </c>
      <c r="B180" s="125" t="s">
        <v>767</v>
      </c>
      <c r="C180" s="129">
        <v>861.6</v>
      </c>
      <c r="D180" s="119"/>
      <c r="E180" s="127"/>
      <c r="F180" s="247"/>
      <c r="G180" s="117">
        <f t="shared" si="66"/>
        <v>2876312.1</v>
      </c>
      <c r="H180" s="348">
        <f t="shared" si="65"/>
        <v>0</v>
      </c>
      <c r="I180" s="129">
        <v>0</v>
      </c>
      <c r="J180" s="129">
        <v>0</v>
      </c>
      <c r="K180" s="129">
        <v>0</v>
      </c>
      <c r="L180" s="129">
        <v>0</v>
      </c>
      <c r="M180" s="129">
        <v>0</v>
      </c>
      <c r="N180" s="348">
        <v>0</v>
      </c>
      <c r="O180" s="348">
        <v>0</v>
      </c>
      <c r="P180" s="348">
        <v>0</v>
      </c>
      <c r="Q180" s="348">
        <v>0</v>
      </c>
      <c r="R180" s="348">
        <v>0</v>
      </c>
      <c r="S180" s="348">
        <v>0</v>
      </c>
      <c r="T180" s="44">
        <v>0</v>
      </c>
      <c r="U180" s="348">
        <v>0</v>
      </c>
      <c r="V180" s="127" t="s">
        <v>997</v>
      </c>
      <c r="W180" s="348">
        <v>815.27</v>
      </c>
      <c r="X180" s="348">
        <v>2759696</v>
      </c>
      <c r="Y180" s="351">
        <v>0</v>
      </c>
      <c r="Z180" s="351">
        <v>0</v>
      </c>
      <c r="AA180" s="351">
        <v>0</v>
      </c>
      <c r="AB180" s="351">
        <v>0</v>
      </c>
      <c r="AC180" s="351">
        <v>0</v>
      </c>
      <c r="AD180" s="351">
        <v>0</v>
      </c>
      <c r="AE180" s="351">
        <v>0</v>
      </c>
      <c r="AF180" s="351">
        <v>0</v>
      </c>
      <c r="AG180" s="351">
        <v>0</v>
      </c>
      <c r="AH180" s="351">
        <v>0</v>
      </c>
      <c r="AI180" s="351">
        <v>0</v>
      </c>
      <c r="AJ180" s="351">
        <v>77614.06</v>
      </c>
      <c r="AK180" s="351">
        <v>39002.04</v>
      </c>
      <c r="AL180" s="351">
        <v>0</v>
      </c>
      <c r="AM180" s="351"/>
      <c r="AN180" s="351"/>
    </row>
    <row r="181" spans="1:40" s="19" customFormat="1" ht="9" hidden="1" customHeight="1">
      <c r="A181" s="349">
        <v>162</v>
      </c>
      <c r="B181" s="125" t="s">
        <v>768</v>
      </c>
      <c r="C181" s="129">
        <v>836.9</v>
      </c>
      <c r="D181" s="119"/>
      <c r="E181" s="127"/>
      <c r="F181" s="247"/>
      <c r="G181" s="117">
        <f t="shared" si="66"/>
        <v>2067997.92</v>
      </c>
      <c r="H181" s="348">
        <f t="shared" si="65"/>
        <v>0</v>
      </c>
      <c r="I181" s="129">
        <v>0</v>
      </c>
      <c r="J181" s="129">
        <v>0</v>
      </c>
      <c r="K181" s="129">
        <v>0</v>
      </c>
      <c r="L181" s="129">
        <v>0</v>
      </c>
      <c r="M181" s="129">
        <v>0</v>
      </c>
      <c r="N181" s="348">
        <v>0</v>
      </c>
      <c r="O181" s="348">
        <v>0</v>
      </c>
      <c r="P181" s="348">
        <v>0</v>
      </c>
      <c r="Q181" s="348">
        <v>0</v>
      </c>
      <c r="R181" s="348">
        <v>0</v>
      </c>
      <c r="S181" s="348">
        <v>0</v>
      </c>
      <c r="T181" s="44">
        <v>0</v>
      </c>
      <c r="U181" s="348">
        <v>0</v>
      </c>
      <c r="V181" s="127" t="s">
        <v>997</v>
      </c>
      <c r="W181" s="348">
        <v>696.97</v>
      </c>
      <c r="X181" s="348">
        <v>1965869</v>
      </c>
      <c r="Y181" s="351">
        <v>0</v>
      </c>
      <c r="Z181" s="351">
        <v>0</v>
      </c>
      <c r="AA181" s="351">
        <v>0</v>
      </c>
      <c r="AB181" s="351">
        <v>0</v>
      </c>
      <c r="AC181" s="351">
        <v>0</v>
      </c>
      <c r="AD181" s="351">
        <v>0</v>
      </c>
      <c r="AE181" s="351">
        <v>0</v>
      </c>
      <c r="AF181" s="351">
        <v>0</v>
      </c>
      <c r="AG181" s="351">
        <v>0</v>
      </c>
      <c r="AH181" s="351">
        <v>0</v>
      </c>
      <c r="AI181" s="351">
        <v>0</v>
      </c>
      <c r="AJ181" s="351">
        <v>67972.09</v>
      </c>
      <c r="AK181" s="351">
        <v>34156.83</v>
      </c>
      <c r="AL181" s="351">
        <v>0</v>
      </c>
      <c r="AM181" s="351"/>
      <c r="AN181" s="351"/>
    </row>
    <row r="182" spans="1:40" s="19" customFormat="1" ht="9" hidden="1" customHeight="1">
      <c r="A182" s="349">
        <v>163</v>
      </c>
      <c r="B182" s="125" t="s">
        <v>769</v>
      </c>
      <c r="C182" s="129">
        <v>1990.5</v>
      </c>
      <c r="D182" s="119"/>
      <c r="E182" s="127"/>
      <c r="F182" s="247"/>
      <c r="G182" s="117">
        <f t="shared" si="66"/>
        <v>1560399.02</v>
      </c>
      <c r="H182" s="348">
        <f t="shared" si="65"/>
        <v>0</v>
      </c>
      <c r="I182" s="129">
        <v>0</v>
      </c>
      <c r="J182" s="129">
        <v>0</v>
      </c>
      <c r="K182" s="129">
        <v>0</v>
      </c>
      <c r="L182" s="129">
        <v>0</v>
      </c>
      <c r="M182" s="129">
        <v>0</v>
      </c>
      <c r="N182" s="348">
        <v>0</v>
      </c>
      <c r="O182" s="348">
        <v>0</v>
      </c>
      <c r="P182" s="348">
        <v>0</v>
      </c>
      <c r="Q182" s="348">
        <v>0</v>
      </c>
      <c r="R182" s="348">
        <v>0</v>
      </c>
      <c r="S182" s="348">
        <v>0</v>
      </c>
      <c r="T182" s="44">
        <v>0</v>
      </c>
      <c r="U182" s="348">
        <v>0</v>
      </c>
      <c r="V182" s="127" t="s">
        <v>997</v>
      </c>
      <c r="W182" s="348">
        <v>593.29999999999995</v>
      </c>
      <c r="X182" s="348">
        <v>1465298</v>
      </c>
      <c r="Y182" s="351">
        <v>0</v>
      </c>
      <c r="Z182" s="351">
        <v>0</v>
      </c>
      <c r="AA182" s="351">
        <v>0</v>
      </c>
      <c r="AB182" s="351">
        <v>0</v>
      </c>
      <c r="AC182" s="351">
        <v>0</v>
      </c>
      <c r="AD182" s="351">
        <v>0</v>
      </c>
      <c r="AE182" s="351">
        <v>0</v>
      </c>
      <c r="AF182" s="351">
        <v>0</v>
      </c>
      <c r="AG182" s="351">
        <v>0</v>
      </c>
      <c r="AH182" s="351">
        <v>0</v>
      </c>
      <c r="AI182" s="351">
        <v>0</v>
      </c>
      <c r="AJ182" s="351">
        <v>63294.66</v>
      </c>
      <c r="AK182" s="351">
        <v>31806.36</v>
      </c>
      <c r="AL182" s="351">
        <v>0</v>
      </c>
      <c r="AM182" s="351"/>
      <c r="AN182" s="351"/>
    </row>
    <row r="183" spans="1:40" s="19" customFormat="1" ht="9" hidden="1" customHeight="1">
      <c r="A183" s="349">
        <v>164</v>
      </c>
      <c r="B183" s="125" t="s">
        <v>770</v>
      </c>
      <c r="C183" s="129">
        <v>4338.1000000000004</v>
      </c>
      <c r="D183" s="119"/>
      <c r="E183" s="127"/>
      <c r="F183" s="247"/>
      <c r="G183" s="129">
        <v>4467560</v>
      </c>
      <c r="H183" s="348">
        <f t="shared" si="65"/>
        <v>0</v>
      </c>
      <c r="I183" s="129">
        <v>0</v>
      </c>
      <c r="J183" s="129">
        <v>0</v>
      </c>
      <c r="K183" s="129">
        <v>0</v>
      </c>
      <c r="L183" s="129">
        <v>0</v>
      </c>
      <c r="M183" s="129">
        <v>0</v>
      </c>
      <c r="N183" s="348">
        <v>0</v>
      </c>
      <c r="O183" s="348">
        <v>0</v>
      </c>
      <c r="P183" s="348">
        <v>0</v>
      </c>
      <c r="Q183" s="348">
        <v>0</v>
      </c>
      <c r="R183" s="348">
        <v>0</v>
      </c>
      <c r="S183" s="348">
        <v>0</v>
      </c>
      <c r="T183" s="44">
        <v>0</v>
      </c>
      <c r="U183" s="348">
        <v>0</v>
      </c>
      <c r="V183" s="127" t="s">
        <v>997</v>
      </c>
      <c r="W183" s="348">
        <v>1340</v>
      </c>
      <c r="X183" s="348">
        <f t="shared" ref="X183" si="67">ROUND(G183/100*95.5,2)</f>
        <v>4266519.8</v>
      </c>
      <c r="Y183" s="351">
        <v>0</v>
      </c>
      <c r="Z183" s="351">
        <v>0</v>
      </c>
      <c r="AA183" s="351">
        <v>0</v>
      </c>
      <c r="AB183" s="351">
        <v>0</v>
      </c>
      <c r="AC183" s="351">
        <v>0</v>
      </c>
      <c r="AD183" s="351">
        <v>0</v>
      </c>
      <c r="AE183" s="351">
        <v>0</v>
      </c>
      <c r="AF183" s="351">
        <v>0</v>
      </c>
      <c r="AG183" s="351">
        <v>0</v>
      </c>
      <c r="AH183" s="351">
        <v>0</v>
      </c>
      <c r="AI183" s="351">
        <v>0</v>
      </c>
      <c r="AJ183" s="351">
        <f t="shared" ref="AJ183" si="68">ROUND(G183/100*3,2)</f>
        <v>134026.79999999999</v>
      </c>
      <c r="AK183" s="351">
        <f t="shared" ref="AK183" si="69">ROUND(G183/100*1.5,2)</f>
        <v>67013.399999999994</v>
      </c>
      <c r="AL183" s="351">
        <v>0</v>
      </c>
      <c r="AM183" s="351"/>
      <c r="AN183" s="351"/>
    </row>
    <row r="184" spans="1:40" s="19" customFormat="1" ht="9" hidden="1" customHeight="1">
      <c r="A184" s="349">
        <v>165</v>
      </c>
      <c r="B184" s="125" t="s">
        <v>1045</v>
      </c>
      <c r="C184" s="129">
        <v>777.4</v>
      </c>
      <c r="D184" s="119"/>
      <c r="E184" s="127"/>
      <c r="F184" s="247"/>
      <c r="G184" s="117">
        <f t="shared" ref="G184" si="70">ROUND(H184+U184+X184+Z184+AB184+AD184+AF184+AH184+AI184+AJ184+AK184+AL184,2)</f>
        <v>1457874.78</v>
      </c>
      <c r="H184" s="348">
        <f t="shared" si="65"/>
        <v>0</v>
      </c>
      <c r="I184" s="129">
        <v>0</v>
      </c>
      <c r="J184" s="129">
        <v>0</v>
      </c>
      <c r="K184" s="129">
        <v>0</v>
      </c>
      <c r="L184" s="129">
        <v>0</v>
      </c>
      <c r="M184" s="129">
        <v>0</v>
      </c>
      <c r="N184" s="348">
        <v>0</v>
      </c>
      <c r="O184" s="348">
        <v>0</v>
      </c>
      <c r="P184" s="348">
        <v>0</v>
      </c>
      <c r="Q184" s="348">
        <v>0</v>
      </c>
      <c r="R184" s="348">
        <v>0</v>
      </c>
      <c r="S184" s="348">
        <v>0</v>
      </c>
      <c r="T184" s="44">
        <v>0</v>
      </c>
      <c r="U184" s="348">
        <v>0</v>
      </c>
      <c r="V184" s="127" t="s">
        <v>997</v>
      </c>
      <c r="W184" s="348">
        <v>467.5</v>
      </c>
      <c r="X184" s="348">
        <v>1381465</v>
      </c>
      <c r="Y184" s="351">
        <v>0</v>
      </c>
      <c r="Z184" s="351">
        <v>0</v>
      </c>
      <c r="AA184" s="351">
        <v>0</v>
      </c>
      <c r="AB184" s="351">
        <v>0</v>
      </c>
      <c r="AC184" s="351">
        <v>0</v>
      </c>
      <c r="AD184" s="351">
        <v>0</v>
      </c>
      <c r="AE184" s="351">
        <v>0</v>
      </c>
      <c r="AF184" s="351">
        <v>0</v>
      </c>
      <c r="AG184" s="351">
        <v>0</v>
      </c>
      <c r="AH184" s="351">
        <v>0</v>
      </c>
      <c r="AI184" s="351">
        <v>0</v>
      </c>
      <c r="AJ184" s="351">
        <v>50854.67</v>
      </c>
      <c r="AK184" s="351">
        <v>25555.11</v>
      </c>
      <c r="AL184" s="351">
        <v>0</v>
      </c>
      <c r="AM184" s="351"/>
      <c r="AN184" s="351"/>
    </row>
    <row r="185" spans="1:40" s="19" customFormat="1" ht="24.75" hidden="1" customHeight="1">
      <c r="A185" s="599" t="s">
        <v>228</v>
      </c>
      <c r="B185" s="599"/>
      <c r="C185" s="348">
        <f>SUM(C172:C184)</f>
        <v>33694.700000000004</v>
      </c>
      <c r="D185" s="349" t="s">
        <v>387</v>
      </c>
      <c r="E185" s="54"/>
      <c r="F185" s="54"/>
      <c r="G185" s="348">
        <f>ROUND(SUM(G172:G184),2)</f>
        <v>35004222.520000003</v>
      </c>
      <c r="H185" s="348">
        <f>SUM(H172:H184)</f>
        <v>1682186.67</v>
      </c>
      <c r="I185" s="348">
        <f>SUM(I172:I184)</f>
        <v>0</v>
      </c>
      <c r="J185" s="348">
        <f>SUM(J172:J184)</f>
        <v>0</v>
      </c>
      <c r="K185" s="348">
        <f t="shared" ref="K185:AN185" si="71">SUM(K172:K184)</f>
        <v>0</v>
      </c>
      <c r="L185" s="348">
        <f t="shared" si="71"/>
        <v>0</v>
      </c>
      <c r="M185" s="348">
        <f t="shared" si="71"/>
        <v>0</v>
      </c>
      <c r="N185" s="348">
        <f t="shared" si="71"/>
        <v>406</v>
      </c>
      <c r="O185" s="348">
        <f t="shared" si="71"/>
        <v>821533.03</v>
      </c>
      <c r="P185" s="348">
        <f t="shared" si="71"/>
        <v>0</v>
      </c>
      <c r="Q185" s="348">
        <f t="shared" si="71"/>
        <v>0</v>
      </c>
      <c r="R185" s="348">
        <f t="shared" si="71"/>
        <v>526</v>
      </c>
      <c r="S185" s="348">
        <f t="shared" si="71"/>
        <v>860653.64</v>
      </c>
      <c r="T185" s="44">
        <f t="shared" si="71"/>
        <v>0</v>
      </c>
      <c r="U185" s="348">
        <f t="shared" si="71"/>
        <v>0</v>
      </c>
      <c r="V185" s="54" t="s">
        <v>387</v>
      </c>
      <c r="W185" s="348">
        <f t="shared" si="71"/>
        <v>10015.970000000001</v>
      </c>
      <c r="X185" s="348">
        <f t="shared" si="71"/>
        <v>31632292.59</v>
      </c>
      <c r="Y185" s="348">
        <f t="shared" si="71"/>
        <v>0</v>
      </c>
      <c r="Z185" s="348">
        <f t="shared" si="71"/>
        <v>0</v>
      </c>
      <c r="AA185" s="348">
        <f t="shared" si="71"/>
        <v>0</v>
      </c>
      <c r="AB185" s="348">
        <f t="shared" si="71"/>
        <v>0</v>
      </c>
      <c r="AC185" s="348">
        <f t="shared" si="71"/>
        <v>0</v>
      </c>
      <c r="AD185" s="348">
        <f t="shared" si="71"/>
        <v>0</v>
      </c>
      <c r="AE185" s="348">
        <f t="shared" si="71"/>
        <v>0</v>
      </c>
      <c r="AF185" s="348">
        <f t="shared" si="71"/>
        <v>0</v>
      </c>
      <c r="AG185" s="348">
        <f t="shared" si="71"/>
        <v>0</v>
      </c>
      <c r="AH185" s="348">
        <f t="shared" si="71"/>
        <v>0</v>
      </c>
      <c r="AI185" s="348">
        <f t="shared" si="71"/>
        <v>86065.36</v>
      </c>
      <c r="AJ185" s="348">
        <f t="shared" si="71"/>
        <v>1067647.79</v>
      </c>
      <c r="AK185" s="348">
        <f t="shared" si="71"/>
        <v>536030.11</v>
      </c>
      <c r="AL185" s="348">
        <f t="shared" si="71"/>
        <v>0</v>
      </c>
      <c r="AM185" s="348">
        <f t="shared" si="71"/>
        <v>0</v>
      </c>
      <c r="AN185" s="348">
        <f t="shared" si="71"/>
        <v>0</v>
      </c>
    </row>
    <row r="186" spans="1:40" s="19" customFormat="1" ht="15" hidden="1" customHeight="1">
      <c r="A186" s="519" t="s">
        <v>239</v>
      </c>
      <c r="B186" s="520"/>
      <c r="C186" s="520"/>
      <c r="D186" s="520"/>
      <c r="E186" s="520"/>
      <c r="F186" s="520"/>
      <c r="G186" s="520"/>
      <c r="H186" s="520"/>
      <c r="I186" s="520"/>
      <c r="J186" s="520"/>
      <c r="K186" s="520"/>
      <c r="L186" s="520"/>
      <c r="M186" s="520"/>
      <c r="N186" s="520"/>
      <c r="O186" s="520"/>
      <c r="P186" s="520"/>
      <c r="Q186" s="520"/>
      <c r="R186" s="520"/>
      <c r="S186" s="520"/>
      <c r="T186" s="520"/>
      <c r="U186" s="520"/>
      <c r="V186" s="520"/>
      <c r="W186" s="520"/>
      <c r="X186" s="520"/>
      <c r="Y186" s="520"/>
      <c r="Z186" s="520"/>
      <c r="AA186" s="520"/>
      <c r="AB186" s="520"/>
      <c r="AC186" s="520"/>
      <c r="AD186" s="520"/>
      <c r="AE186" s="520"/>
      <c r="AF186" s="520"/>
      <c r="AG186" s="520"/>
      <c r="AH186" s="520"/>
      <c r="AI186" s="520"/>
      <c r="AJ186" s="520"/>
      <c r="AK186" s="520"/>
      <c r="AL186" s="520"/>
      <c r="AM186" s="520"/>
      <c r="AN186" s="521"/>
    </row>
    <row r="187" spans="1:40" s="19" customFormat="1" ht="9" hidden="1" customHeight="1">
      <c r="A187" s="349">
        <v>166</v>
      </c>
      <c r="B187" s="179" t="s">
        <v>1008</v>
      </c>
      <c r="C187" s="129">
        <v>1523.7</v>
      </c>
      <c r="D187" s="119"/>
      <c r="E187" s="181"/>
      <c r="F187" s="181"/>
      <c r="G187" s="117">
        <f t="shared" ref="G187:G189" si="72">ROUND(H187+U187+X187+Z187+AB187+AD187+AF187+AH187+AI187+AJ187+AK187+AL187,2)</f>
        <v>2864957.36</v>
      </c>
      <c r="H187" s="348">
        <f t="shared" ref="H187" si="73">I187+K187+M187+O187+Q187+S187</f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0</v>
      </c>
      <c r="N187" s="348">
        <v>0</v>
      </c>
      <c r="O187" s="348">
        <v>0</v>
      </c>
      <c r="P187" s="348">
        <v>0</v>
      </c>
      <c r="Q187" s="348">
        <v>0</v>
      </c>
      <c r="R187" s="348">
        <v>0</v>
      </c>
      <c r="S187" s="348">
        <v>0</v>
      </c>
      <c r="T187" s="44">
        <v>0</v>
      </c>
      <c r="U187" s="348">
        <v>0</v>
      </c>
      <c r="V187" s="181" t="s">
        <v>998</v>
      </c>
      <c r="W187" s="348">
        <v>922</v>
      </c>
      <c r="X187" s="348">
        <v>2744280</v>
      </c>
      <c r="Y187" s="351">
        <v>0</v>
      </c>
      <c r="Z187" s="351">
        <v>0</v>
      </c>
      <c r="AA187" s="351">
        <v>0</v>
      </c>
      <c r="AB187" s="351">
        <v>0</v>
      </c>
      <c r="AC187" s="351">
        <v>0</v>
      </c>
      <c r="AD187" s="351">
        <v>0</v>
      </c>
      <c r="AE187" s="351">
        <v>0</v>
      </c>
      <c r="AF187" s="351">
        <v>0</v>
      </c>
      <c r="AG187" s="351">
        <v>0</v>
      </c>
      <c r="AH187" s="351">
        <v>0</v>
      </c>
      <c r="AI187" s="351">
        <v>0</v>
      </c>
      <c r="AJ187" s="351">
        <v>80317.039999999994</v>
      </c>
      <c r="AK187" s="351">
        <v>40360.32</v>
      </c>
      <c r="AL187" s="351">
        <v>0</v>
      </c>
      <c r="AM187" s="223"/>
      <c r="AN187" s="223"/>
    </row>
    <row r="188" spans="1:40" s="19" customFormat="1" ht="9" hidden="1" customHeight="1">
      <c r="A188" s="349">
        <v>167</v>
      </c>
      <c r="B188" s="179" t="s">
        <v>1010</v>
      </c>
      <c r="C188" s="129">
        <v>848.3</v>
      </c>
      <c r="D188" s="119"/>
      <c r="E188" s="181"/>
      <c r="F188" s="181"/>
      <c r="G188" s="117">
        <f t="shared" si="72"/>
        <v>2688793.16</v>
      </c>
      <c r="H188" s="348">
        <f t="shared" ref="H188:H189" si="74">I188+K188+M188+O188+Q188+S188</f>
        <v>0</v>
      </c>
      <c r="I188" s="129">
        <v>0</v>
      </c>
      <c r="J188" s="129">
        <v>0</v>
      </c>
      <c r="K188" s="129">
        <v>0</v>
      </c>
      <c r="L188" s="129">
        <v>0</v>
      </c>
      <c r="M188" s="129">
        <v>0</v>
      </c>
      <c r="N188" s="348">
        <v>0</v>
      </c>
      <c r="O188" s="348">
        <v>0</v>
      </c>
      <c r="P188" s="348">
        <v>0</v>
      </c>
      <c r="Q188" s="348">
        <v>0</v>
      </c>
      <c r="R188" s="348">
        <v>0</v>
      </c>
      <c r="S188" s="348">
        <v>0</v>
      </c>
      <c r="T188" s="44">
        <v>0</v>
      </c>
      <c r="U188" s="348">
        <v>0</v>
      </c>
      <c r="V188" s="181" t="s">
        <v>998</v>
      </c>
      <c r="W188" s="348">
        <v>828.52</v>
      </c>
      <c r="X188" s="348">
        <v>2578414</v>
      </c>
      <c r="Y188" s="351">
        <v>0</v>
      </c>
      <c r="Z188" s="351">
        <v>0</v>
      </c>
      <c r="AA188" s="351">
        <v>0</v>
      </c>
      <c r="AB188" s="351">
        <v>0</v>
      </c>
      <c r="AC188" s="351">
        <v>0</v>
      </c>
      <c r="AD188" s="351">
        <v>0</v>
      </c>
      <c r="AE188" s="351">
        <v>0</v>
      </c>
      <c r="AF188" s="351">
        <v>0</v>
      </c>
      <c r="AG188" s="351">
        <v>0</v>
      </c>
      <c r="AH188" s="351">
        <v>0</v>
      </c>
      <c r="AI188" s="351">
        <v>0</v>
      </c>
      <c r="AJ188" s="351">
        <v>73463.05</v>
      </c>
      <c r="AK188" s="351">
        <v>36916.11</v>
      </c>
      <c r="AL188" s="351">
        <v>0</v>
      </c>
      <c r="AM188" s="223"/>
      <c r="AN188" s="223"/>
    </row>
    <row r="189" spans="1:40" s="19" customFormat="1" ht="9" hidden="1" customHeight="1">
      <c r="A189" s="349">
        <v>168</v>
      </c>
      <c r="B189" s="179" t="s">
        <v>1009</v>
      </c>
      <c r="C189" s="129">
        <v>2440.6</v>
      </c>
      <c r="D189" s="119"/>
      <c r="E189" s="181"/>
      <c r="F189" s="181"/>
      <c r="G189" s="117">
        <f t="shared" si="72"/>
        <v>1837901.3</v>
      </c>
      <c r="H189" s="348">
        <f t="shared" si="74"/>
        <v>0</v>
      </c>
      <c r="I189" s="129">
        <v>0</v>
      </c>
      <c r="J189" s="129">
        <v>0</v>
      </c>
      <c r="K189" s="129">
        <v>0</v>
      </c>
      <c r="L189" s="129">
        <v>0</v>
      </c>
      <c r="M189" s="129">
        <v>0</v>
      </c>
      <c r="N189" s="348">
        <v>0</v>
      </c>
      <c r="O189" s="348">
        <v>0</v>
      </c>
      <c r="P189" s="348">
        <v>0</v>
      </c>
      <c r="Q189" s="348">
        <v>0</v>
      </c>
      <c r="R189" s="348">
        <v>0</v>
      </c>
      <c r="S189" s="348">
        <v>0</v>
      </c>
      <c r="T189" s="44">
        <v>0</v>
      </c>
      <c r="U189" s="348">
        <v>0</v>
      </c>
      <c r="V189" s="181" t="s">
        <v>997</v>
      </c>
      <c r="W189" s="348">
        <v>561</v>
      </c>
      <c r="X189" s="348">
        <v>1746389</v>
      </c>
      <c r="Y189" s="351">
        <v>0</v>
      </c>
      <c r="Z189" s="351">
        <v>0</v>
      </c>
      <c r="AA189" s="351">
        <v>0</v>
      </c>
      <c r="AB189" s="351">
        <v>0</v>
      </c>
      <c r="AC189" s="351">
        <v>0</v>
      </c>
      <c r="AD189" s="351">
        <v>0</v>
      </c>
      <c r="AE189" s="351">
        <v>0</v>
      </c>
      <c r="AF189" s="351">
        <v>0</v>
      </c>
      <c r="AG189" s="351">
        <v>0</v>
      </c>
      <c r="AH189" s="351">
        <v>0</v>
      </c>
      <c r="AI189" s="351">
        <v>0</v>
      </c>
      <c r="AJ189" s="351">
        <v>60906.18</v>
      </c>
      <c r="AK189" s="351">
        <v>30606.12</v>
      </c>
      <c r="AL189" s="351">
        <v>0</v>
      </c>
      <c r="AM189" s="223"/>
      <c r="AN189" s="223"/>
    </row>
    <row r="190" spans="1:40" s="19" customFormat="1" ht="21.75" hidden="1" customHeight="1">
      <c r="A190" s="599" t="s">
        <v>422</v>
      </c>
      <c r="B190" s="599"/>
      <c r="C190" s="348">
        <f>SUM(C187:C189)</f>
        <v>4812.6000000000004</v>
      </c>
      <c r="D190" s="349" t="s">
        <v>387</v>
      </c>
      <c r="E190" s="349"/>
      <c r="F190" s="349"/>
      <c r="G190" s="348">
        <f>ROUND(SUM(G187:G189),2)</f>
        <v>7391651.8200000003</v>
      </c>
      <c r="H190" s="348">
        <f t="shared" ref="H190:AL190" si="75">SUM(H187:H189)</f>
        <v>0</v>
      </c>
      <c r="I190" s="348">
        <f t="shared" si="75"/>
        <v>0</v>
      </c>
      <c r="J190" s="348">
        <f t="shared" si="75"/>
        <v>0</v>
      </c>
      <c r="K190" s="348">
        <f t="shared" si="75"/>
        <v>0</v>
      </c>
      <c r="L190" s="348">
        <f t="shared" si="75"/>
        <v>0</v>
      </c>
      <c r="M190" s="348">
        <f t="shared" si="75"/>
        <v>0</v>
      </c>
      <c r="N190" s="348">
        <f t="shared" si="75"/>
        <v>0</v>
      </c>
      <c r="O190" s="348">
        <f t="shared" si="75"/>
        <v>0</v>
      </c>
      <c r="P190" s="348">
        <f t="shared" si="75"/>
        <v>0</v>
      </c>
      <c r="Q190" s="348">
        <f t="shared" si="75"/>
        <v>0</v>
      </c>
      <c r="R190" s="348">
        <f t="shared" si="75"/>
        <v>0</v>
      </c>
      <c r="S190" s="348">
        <f t="shared" si="75"/>
        <v>0</v>
      </c>
      <c r="T190" s="44">
        <f t="shared" si="75"/>
        <v>0</v>
      </c>
      <c r="U190" s="348">
        <f t="shared" si="75"/>
        <v>0</v>
      </c>
      <c r="V190" s="349" t="s">
        <v>387</v>
      </c>
      <c r="W190" s="348">
        <f t="shared" si="75"/>
        <v>2311.52</v>
      </c>
      <c r="X190" s="348">
        <f t="shared" si="75"/>
        <v>7069083</v>
      </c>
      <c r="Y190" s="348">
        <f t="shared" si="75"/>
        <v>0</v>
      </c>
      <c r="Z190" s="348">
        <f t="shared" si="75"/>
        <v>0</v>
      </c>
      <c r="AA190" s="348">
        <f t="shared" si="75"/>
        <v>0</v>
      </c>
      <c r="AB190" s="348">
        <f t="shared" si="75"/>
        <v>0</v>
      </c>
      <c r="AC190" s="348">
        <f t="shared" si="75"/>
        <v>0</v>
      </c>
      <c r="AD190" s="348">
        <f t="shared" si="75"/>
        <v>0</v>
      </c>
      <c r="AE190" s="348">
        <f t="shared" si="75"/>
        <v>0</v>
      </c>
      <c r="AF190" s="348">
        <f t="shared" si="75"/>
        <v>0</v>
      </c>
      <c r="AG190" s="348">
        <f t="shared" si="75"/>
        <v>0</v>
      </c>
      <c r="AH190" s="348">
        <f t="shared" si="75"/>
        <v>0</v>
      </c>
      <c r="AI190" s="348">
        <f t="shared" si="75"/>
        <v>0</v>
      </c>
      <c r="AJ190" s="348">
        <f t="shared" si="75"/>
        <v>214686.27</v>
      </c>
      <c r="AK190" s="348">
        <f t="shared" si="75"/>
        <v>107882.54999999999</v>
      </c>
      <c r="AL190" s="348">
        <f t="shared" si="75"/>
        <v>0</v>
      </c>
      <c r="AM190" s="352"/>
      <c r="AN190" s="352"/>
    </row>
    <row r="191" spans="1:40" s="19" customFormat="1" ht="12" hidden="1" customHeight="1">
      <c r="A191" s="519" t="s">
        <v>248</v>
      </c>
      <c r="B191" s="520"/>
      <c r="C191" s="520"/>
      <c r="D191" s="520"/>
      <c r="E191" s="520"/>
      <c r="F191" s="520"/>
      <c r="G191" s="520"/>
      <c r="H191" s="520"/>
      <c r="I191" s="520"/>
      <c r="J191" s="520"/>
      <c r="K191" s="520"/>
      <c r="L191" s="520"/>
      <c r="M191" s="520"/>
      <c r="N191" s="520"/>
      <c r="O191" s="520"/>
      <c r="P191" s="520"/>
      <c r="Q191" s="520"/>
      <c r="R191" s="520"/>
      <c r="S191" s="520"/>
      <c r="T191" s="520"/>
      <c r="U191" s="520"/>
      <c r="V191" s="520"/>
      <c r="W191" s="520"/>
      <c r="X191" s="520"/>
      <c r="Y191" s="520"/>
      <c r="Z191" s="520"/>
      <c r="AA191" s="520"/>
      <c r="AB191" s="520"/>
      <c r="AC191" s="520"/>
      <c r="AD191" s="520"/>
      <c r="AE191" s="520"/>
      <c r="AF191" s="520"/>
      <c r="AG191" s="520"/>
      <c r="AH191" s="520"/>
      <c r="AI191" s="520"/>
      <c r="AJ191" s="520"/>
      <c r="AK191" s="520"/>
      <c r="AL191" s="520"/>
      <c r="AM191" s="520"/>
      <c r="AN191" s="521"/>
    </row>
    <row r="192" spans="1:40" s="19" customFormat="1" ht="9" hidden="1" customHeight="1">
      <c r="A192" s="349">
        <v>169</v>
      </c>
      <c r="B192" s="185" t="s">
        <v>785</v>
      </c>
      <c r="C192" s="342">
        <v>3227.4</v>
      </c>
      <c r="D192" s="343"/>
      <c r="E192" s="344"/>
      <c r="F192" s="344"/>
      <c r="G192" s="117">
        <f t="shared" ref="G192:G193" si="76">ROUND(H192+U192+X192+Z192+AB192+AD192+AF192+AH192+AI192+AJ192+AK192+AL192,2)</f>
        <v>4356453.3499999996</v>
      </c>
      <c r="H192" s="348">
        <f t="shared" ref="H192" si="77">I192+K192+M192+O192+Q192+S192</f>
        <v>0</v>
      </c>
      <c r="I192" s="129">
        <v>0</v>
      </c>
      <c r="J192" s="129">
        <v>0</v>
      </c>
      <c r="K192" s="129">
        <v>0</v>
      </c>
      <c r="L192" s="129">
        <v>0</v>
      </c>
      <c r="M192" s="129">
        <v>0</v>
      </c>
      <c r="N192" s="348">
        <v>0</v>
      </c>
      <c r="O192" s="348">
        <v>0</v>
      </c>
      <c r="P192" s="348">
        <v>0</v>
      </c>
      <c r="Q192" s="348">
        <v>0</v>
      </c>
      <c r="R192" s="348">
        <v>0</v>
      </c>
      <c r="S192" s="348">
        <v>0</v>
      </c>
      <c r="T192" s="44">
        <v>0</v>
      </c>
      <c r="U192" s="348">
        <v>0</v>
      </c>
      <c r="V192" s="344" t="s">
        <v>998</v>
      </c>
      <c r="W192" s="348">
        <v>1228.3</v>
      </c>
      <c r="X192" s="348">
        <v>4182399.47</v>
      </c>
      <c r="Y192" s="351">
        <v>0</v>
      </c>
      <c r="Z192" s="351">
        <v>0</v>
      </c>
      <c r="AA192" s="351">
        <v>0</v>
      </c>
      <c r="AB192" s="351">
        <v>0</v>
      </c>
      <c r="AC192" s="351">
        <v>0</v>
      </c>
      <c r="AD192" s="351">
        <v>0</v>
      </c>
      <c r="AE192" s="351">
        <v>0</v>
      </c>
      <c r="AF192" s="351">
        <v>0</v>
      </c>
      <c r="AG192" s="351">
        <v>0</v>
      </c>
      <c r="AH192" s="351">
        <v>0</v>
      </c>
      <c r="AI192" s="351">
        <v>0</v>
      </c>
      <c r="AJ192" s="351">
        <v>115841.88</v>
      </c>
      <c r="AK192" s="351">
        <v>58212</v>
      </c>
      <c r="AL192" s="351">
        <v>0</v>
      </c>
      <c r="AM192" s="351"/>
      <c r="AN192" s="351"/>
    </row>
    <row r="193" spans="1:40" s="19" customFormat="1" ht="9" hidden="1" customHeight="1">
      <c r="A193" s="349">
        <v>170</v>
      </c>
      <c r="B193" s="185" t="s">
        <v>786</v>
      </c>
      <c r="C193" s="342">
        <v>1975.9</v>
      </c>
      <c r="D193" s="343"/>
      <c r="E193" s="344"/>
      <c r="F193" s="344"/>
      <c r="G193" s="117">
        <f t="shared" si="76"/>
        <v>3164194.67</v>
      </c>
      <c r="H193" s="348">
        <f t="shared" ref="H193:H197" si="78">I193+K193+M193+O193+Q193+S193</f>
        <v>0</v>
      </c>
      <c r="I193" s="129">
        <v>0</v>
      </c>
      <c r="J193" s="129">
        <v>0</v>
      </c>
      <c r="K193" s="129">
        <v>0</v>
      </c>
      <c r="L193" s="129">
        <v>0</v>
      </c>
      <c r="M193" s="129">
        <v>0</v>
      </c>
      <c r="N193" s="348">
        <v>0</v>
      </c>
      <c r="O193" s="348">
        <v>0</v>
      </c>
      <c r="P193" s="348">
        <v>0</v>
      </c>
      <c r="Q193" s="348">
        <v>0</v>
      </c>
      <c r="R193" s="348">
        <v>0</v>
      </c>
      <c r="S193" s="348">
        <v>0</v>
      </c>
      <c r="T193" s="44">
        <v>0</v>
      </c>
      <c r="U193" s="348">
        <v>0</v>
      </c>
      <c r="V193" s="344" t="s">
        <v>998</v>
      </c>
      <c r="W193" s="348">
        <v>836.2</v>
      </c>
      <c r="X193" s="348">
        <v>2990140.79</v>
      </c>
      <c r="Y193" s="351">
        <v>0</v>
      </c>
      <c r="Z193" s="351">
        <v>0</v>
      </c>
      <c r="AA193" s="351">
        <v>0</v>
      </c>
      <c r="AB193" s="351">
        <v>0</v>
      </c>
      <c r="AC193" s="351">
        <v>0</v>
      </c>
      <c r="AD193" s="351">
        <v>0</v>
      </c>
      <c r="AE193" s="351">
        <v>0</v>
      </c>
      <c r="AF193" s="351">
        <v>0</v>
      </c>
      <c r="AG193" s="351">
        <v>0</v>
      </c>
      <c r="AH193" s="351">
        <v>0</v>
      </c>
      <c r="AI193" s="351">
        <v>0</v>
      </c>
      <c r="AJ193" s="351">
        <v>115841.88</v>
      </c>
      <c r="AK193" s="351">
        <v>58212</v>
      </c>
      <c r="AL193" s="351">
        <v>0</v>
      </c>
      <c r="AM193" s="351"/>
      <c r="AN193" s="351"/>
    </row>
    <row r="194" spans="1:40" s="19" customFormat="1" ht="9" hidden="1" customHeight="1">
      <c r="A194" s="349">
        <v>171</v>
      </c>
      <c r="B194" s="185" t="s">
        <v>787</v>
      </c>
      <c r="C194" s="342">
        <v>530</v>
      </c>
      <c r="D194" s="343"/>
      <c r="E194" s="344"/>
      <c r="F194" s="344"/>
      <c r="G194" s="117">
        <f t="shared" ref="G194:G196" si="79">ROUND(H194+U194+X194+Z194+AB194+AD194+AF194+AH194+AI194+AJ194+AK194+AL194,2)</f>
        <v>1396442.97</v>
      </c>
      <c r="H194" s="348">
        <f t="shared" si="78"/>
        <v>0</v>
      </c>
      <c r="I194" s="129">
        <v>0</v>
      </c>
      <c r="J194" s="129">
        <v>0</v>
      </c>
      <c r="K194" s="129">
        <v>0</v>
      </c>
      <c r="L194" s="129">
        <v>0</v>
      </c>
      <c r="M194" s="129">
        <v>0</v>
      </c>
      <c r="N194" s="348">
        <v>0</v>
      </c>
      <c r="O194" s="348">
        <v>0</v>
      </c>
      <c r="P194" s="348">
        <v>0</v>
      </c>
      <c r="Q194" s="348">
        <v>0</v>
      </c>
      <c r="R194" s="348">
        <v>0</v>
      </c>
      <c r="S194" s="348">
        <v>0</v>
      </c>
      <c r="T194" s="44">
        <v>0</v>
      </c>
      <c r="U194" s="348">
        <v>0</v>
      </c>
      <c r="V194" s="344" t="s">
        <v>998</v>
      </c>
      <c r="W194" s="348">
        <v>523</v>
      </c>
      <c r="X194" s="348">
        <v>1339018</v>
      </c>
      <c r="Y194" s="351">
        <v>0</v>
      </c>
      <c r="Z194" s="351">
        <v>0</v>
      </c>
      <c r="AA194" s="351">
        <v>0</v>
      </c>
      <c r="AB194" s="351">
        <v>0</v>
      </c>
      <c r="AC194" s="351">
        <v>0</v>
      </c>
      <c r="AD194" s="351">
        <v>0</v>
      </c>
      <c r="AE194" s="351">
        <v>0</v>
      </c>
      <c r="AF194" s="351">
        <v>0</v>
      </c>
      <c r="AG194" s="351">
        <v>0</v>
      </c>
      <c r="AH194" s="351">
        <v>0</v>
      </c>
      <c r="AI194" s="351">
        <v>0</v>
      </c>
      <c r="AJ194" s="351">
        <v>35673.089999999997</v>
      </c>
      <c r="AK194" s="351">
        <v>21751.88</v>
      </c>
      <c r="AL194" s="351">
        <v>0</v>
      </c>
      <c r="AM194" s="351"/>
      <c r="AN194" s="351"/>
    </row>
    <row r="195" spans="1:40" s="19" customFormat="1" ht="9" hidden="1" customHeight="1">
      <c r="A195" s="349">
        <v>172</v>
      </c>
      <c r="B195" s="185" t="s">
        <v>788</v>
      </c>
      <c r="C195" s="342">
        <v>383.2</v>
      </c>
      <c r="D195" s="343"/>
      <c r="E195" s="344"/>
      <c r="F195" s="344"/>
      <c r="G195" s="117">
        <f t="shared" si="79"/>
        <v>1241529.67</v>
      </c>
      <c r="H195" s="348">
        <f t="shared" si="78"/>
        <v>0</v>
      </c>
      <c r="I195" s="129">
        <v>0</v>
      </c>
      <c r="J195" s="129">
        <v>0</v>
      </c>
      <c r="K195" s="129">
        <v>0</v>
      </c>
      <c r="L195" s="129">
        <v>0</v>
      </c>
      <c r="M195" s="129">
        <v>0</v>
      </c>
      <c r="N195" s="348">
        <v>0</v>
      </c>
      <c r="O195" s="348">
        <v>0</v>
      </c>
      <c r="P195" s="348">
        <v>0</v>
      </c>
      <c r="Q195" s="348">
        <v>0</v>
      </c>
      <c r="R195" s="348">
        <v>0</v>
      </c>
      <c r="S195" s="348">
        <v>0</v>
      </c>
      <c r="T195" s="44">
        <v>0</v>
      </c>
      <c r="U195" s="348">
        <v>0</v>
      </c>
      <c r="V195" s="344" t="s">
        <v>998</v>
      </c>
      <c r="W195" s="348">
        <v>404.4</v>
      </c>
      <c r="X195" s="348">
        <v>1189574.5900000001</v>
      </c>
      <c r="Y195" s="351">
        <v>0</v>
      </c>
      <c r="Z195" s="351">
        <v>0</v>
      </c>
      <c r="AA195" s="351">
        <v>0</v>
      </c>
      <c r="AB195" s="351">
        <v>0</v>
      </c>
      <c r="AC195" s="351">
        <v>0</v>
      </c>
      <c r="AD195" s="351">
        <v>0</v>
      </c>
      <c r="AE195" s="351">
        <v>0</v>
      </c>
      <c r="AF195" s="351">
        <v>0</v>
      </c>
      <c r="AG195" s="351">
        <v>0</v>
      </c>
      <c r="AH195" s="351">
        <v>0</v>
      </c>
      <c r="AI195" s="351">
        <v>0</v>
      </c>
      <c r="AJ195" s="351">
        <v>34578.800000000003</v>
      </c>
      <c r="AK195" s="351">
        <v>17376.28</v>
      </c>
      <c r="AL195" s="351">
        <v>0</v>
      </c>
      <c r="AM195" s="351"/>
      <c r="AN195" s="351"/>
    </row>
    <row r="196" spans="1:40" s="19" customFormat="1" ht="9" hidden="1" customHeight="1">
      <c r="A196" s="349">
        <v>173</v>
      </c>
      <c r="B196" s="185" t="s">
        <v>789</v>
      </c>
      <c r="C196" s="342">
        <v>384.2</v>
      </c>
      <c r="D196" s="343"/>
      <c r="E196" s="344"/>
      <c r="F196" s="344"/>
      <c r="G196" s="117">
        <f t="shared" si="79"/>
        <v>1231285.1200000001</v>
      </c>
      <c r="H196" s="348">
        <f t="shared" si="78"/>
        <v>0</v>
      </c>
      <c r="I196" s="129">
        <v>0</v>
      </c>
      <c r="J196" s="129">
        <v>0</v>
      </c>
      <c r="K196" s="129">
        <v>0</v>
      </c>
      <c r="L196" s="129">
        <v>0</v>
      </c>
      <c r="M196" s="129">
        <v>0</v>
      </c>
      <c r="N196" s="348">
        <v>0</v>
      </c>
      <c r="O196" s="348">
        <v>0</v>
      </c>
      <c r="P196" s="348">
        <v>0</v>
      </c>
      <c r="Q196" s="348">
        <v>0</v>
      </c>
      <c r="R196" s="348">
        <v>0</v>
      </c>
      <c r="S196" s="348">
        <v>0</v>
      </c>
      <c r="T196" s="44">
        <v>0</v>
      </c>
      <c r="U196" s="348">
        <v>0</v>
      </c>
      <c r="V196" s="344" t="s">
        <v>998</v>
      </c>
      <c r="W196" s="348">
        <v>404.4</v>
      </c>
      <c r="X196" s="348">
        <v>1179330.04</v>
      </c>
      <c r="Y196" s="351">
        <v>0</v>
      </c>
      <c r="Z196" s="351">
        <v>0</v>
      </c>
      <c r="AA196" s="351">
        <v>0</v>
      </c>
      <c r="AB196" s="351">
        <v>0</v>
      </c>
      <c r="AC196" s="351">
        <v>0</v>
      </c>
      <c r="AD196" s="351">
        <v>0</v>
      </c>
      <c r="AE196" s="351">
        <v>0</v>
      </c>
      <c r="AF196" s="351">
        <v>0</v>
      </c>
      <c r="AG196" s="351">
        <v>0</v>
      </c>
      <c r="AH196" s="351">
        <v>0</v>
      </c>
      <c r="AI196" s="351">
        <v>0</v>
      </c>
      <c r="AJ196" s="351">
        <v>34578.800000000003</v>
      </c>
      <c r="AK196" s="351">
        <v>17376.28</v>
      </c>
      <c r="AL196" s="351">
        <v>0</v>
      </c>
      <c r="AM196" s="351"/>
      <c r="AN196" s="351"/>
    </row>
    <row r="197" spans="1:40" s="19" customFormat="1" ht="9" hidden="1" customHeight="1">
      <c r="A197" s="349">
        <v>174</v>
      </c>
      <c r="B197" s="185" t="s">
        <v>790</v>
      </c>
      <c r="C197" s="342">
        <v>633.5</v>
      </c>
      <c r="D197" s="343"/>
      <c r="E197" s="344"/>
      <c r="F197" s="344"/>
      <c r="G197" s="117">
        <f>ROUND(H197+U197+X197+Z197+AB197+AD197+AF197+AH197+AI197+AJ197+AK197+AL197,2)</f>
        <v>2084871.41</v>
      </c>
      <c r="H197" s="348">
        <f t="shared" si="78"/>
        <v>0</v>
      </c>
      <c r="I197" s="129">
        <v>0</v>
      </c>
      <c r="J197" s="129">
        <v>0</v>
      </c>
      <c r="K197" s="129">
        <v>0</v>
      </c>
      <c r="L197" s="129">
        <v>0</v>
      </c>
      <c r="M197" s="129">
        <v>0</v>
      </c>
      <c r="N197" s="348">
        <v>0</v>
      </c>
      <c r="O197" s="348">
        <v>0</v>
      </c>
      <c r="P197" s="348">
        <v>0</v>
      </c>
      <c r="Q197" s="348">
        <v>0</v>
      </c>
      <c r="R197" s="348">
        <v>0</v>
      </c>
      <c r="S197" s="348">
        <v>0</v>
      </c>
      <c r="T197" s="44">
        <v>0</v>
      </c>
      <c r="U197" s="348">
        <v>0</v>
      </c>
      <c r="V197" s="344" t="s">
        <v>998</v>
      </c>
      <c r="W197" s="348">
        <v>618.70000000000005</v>
      </c>
      <c r="X197" s="348">
        <v>2009157.98</v>
      </c>
      <c r="Y197" s="351">
        <v>0</v>
      </c>
      <c r="Z197" s="351">
        <v>0</v>
      </c>
      <c r="AA197" s="351">
        <v>0</v>
      </c>
      <c r="AB197" s="351">
        <v>0</v>
      </c>
      <c r="AC197" s="351">
        <v>0</v>
      </c>
      <c r="AD197" s="351">
        <v>0</v>
      </c>
      <c r="AE197" s="351">
        <v>0</v>
      </c>
      <c r="AF197" s="351">
        <v>0</v>
      </c>
      <c r="AG197" s="351">
        <v>0</v>
      </c>
      <c r="AH197" s="351">
        <v>0</v>
      </c>
      <c r="AI197" s="351">
        <v>0</v>
      </c>
      <c r="AJ197" s="351">
        <v>50391.21</v>
      </c>
      <c r="AK197" s="351">
        <v>25322.22</v>
      </c>
      <c r="AL197" s="351">
        <v>0</v>
      </c>
      <c r="AM197" s="351"/>
      <c r="AN197" s="351"/>
    </row>
    <row r="198" spans="1:40" s="19" customFormat="1" ht="9" hidden="1" customHeight="1">
      <c r="A198" s="349">
        <v>175</v>
      </c>
      <c r="B198" s="185" t="s">
        <v>797</v>
      </c>
      <c r="C198" s="342"/>
      <c r="D198" s="343"/>
      <c r="E198" s="344"/>
      <c r="F198" s="344"/>
      <c r="G198" s="117">
        <f>ROUND(H198+U198+X198+Z198+AB198+AD198+AF198+AH198+AI198+AJ198+AK198+AL198,2)</f>
        <v>1714020</v>
      </c>
      <c r="H198" s="348">
        <f t="shared" ref="H198" si="80">I198+K198+M198+O198+Q198+S198</f>
        <v>0</v>
      </c>
      <c r="I198" s="129">
        <v>0</v>
      </c>
      <c r="J198" s="129">
        <v>0</v>
      </c>
      <c r="K198" s="129">
        <v>0</v>
      </c>
      <c r="L198" s="129">
        <v>0</v>
      </c>
      <c r="M198" s="129">
        <v>0</v>
      </c>
      <c r="N198" s="348">
        <v>0</v>
      </c>
      <c r="O198" s="348">
        <v>0</v>
      </c>
      <c r="P198" s="348">
        <v>0</v>
      </c>
      <c r="Q198" s="348">
        <v>0</v>
      </c>
      <c r="R198" s="348">
        <v>0</v>
      </c>
      <c r="S198" s="348">
        <v>0</v>
      </c>
      <c r="T198" s="44">
        <v>0</v>
      </c>
      <c r="U198" s="348">
        <v>0</v>
      </c>
      <c r="V198" s="349" t="s">
        <v>998</v>
      </c>
      <c r="W198" s="348">
        <v>530</v>
      </c>
      <c r="X198" s="348">
        <f>ROUND(W198*3234*0.955,2)</f>
        <v>1636889.1</v>
      </c>
      <c r="Y198" s="351">
        <v>0</v>
      </c>
      <c r="Z198" s="351">
        <v>0</v>
      </c>
      <c r="AA198" s="351">
        <v>0</v>
      </c>
      <c r="AB198" s="351">
        <v>0</v>
      </c>
      <c r="AC198" s="351">
        <v>0</v>
      </c>
      <c r="AD198" s="351">
        <v>0</v>
      </c>
      <c r="AE198" s="351">
        <v>0</v>
      </c>
      <c r="AF198" s="351">
        <v>0</v>
      </c>
      <c r="AG198" s="351">
        <v>0</v>
      </c>
      <c r="AH198" s="351">
        <v>0</v>
      </c>
      <c r="AI198" s="351">
        <v>0</v>
      </c>
      <c r="AJ198" s="351">
        <f>ROUND(W198*3234*0.03,2)</f>
        <v>51420.6</v>
      </c>
      <c r="AK198" s="351">
        <f>ROUND(W198*3234*0.015,2)</f>
        <v>25710.3</v>
      </c>
      <c r="AL198" s="351">
        <v>0</v>
      </c>
      <c r="AM198" s="351"/>
      <c r="AN198" s="351"/>
    </row>
    <row r="199" spans="1:40" s="19" customFormat="1" ht="23.25" hidden="1" customHeight="1">
      <c r="A199" s="599" t="s">
        <v>247</v>
      </c>
      <c r="B199" s="599"/>
      <c r="C199" s="348">
        <f>SUM(C192:C197)</f>
        <v>7134.2</v>
      </c>
      <c r="D199" s="349" t="s">
        <v>387</v>
      </c>
      <c r="E199" s="349"/>
      <c r="F199" s="349"/>
      <c r="G199" s="348">
        <f>ROUND(SUM(G192:G198),2)</f>
        <v>15188797.189999999</v>
      </c>
      <c r="H199" s="348">
        <f t="shared" ref="H199:T199" si="81">ROUND(SUM(H192:H198),2)</f>
        <v>0</v>
      </c>
      <c r="I199" s="348">
        <f t="shared" si="81"/>
        <v>0</v>
      </c>
      <c r="J199" s="348">
        <f t="shared" si="81"/>
        <v>0</v>
      </c>
      <c r="K199" s="348">
        <f t="shared" si="81"/>
        <v>0</v>
      </c>
      <c r="L199" s="348">
        <f t="shared" si="81"/>
        <v>0</v>
      </c>
      <c r="M199" s="348">
        <f t="shared" si="81"/>
        <v>0</v>
      </c>
      <c r="N199" s="348">
        <f t="shared" si="81"/>
        <v>0</v>
      </c>
      <c r="O199" s="348">
        <f t="shared" si="81"/>
        <v>0</v>
      </c>
      <c r="P199" s="348">
        <f t="shared" si="81"/>
        <v>0</v>
      </c>
      <c r="Q199" s="348">
        <f t="shared" si="81"/>
        <v>0</v>
      </c>
      <c r="R199" s="348">
        <f t="shared" si="81"/>
        <v>0</v>
      </c>
      <c r="S199" s="348">
        <f t="shared" si="81"/>
        <v>0</v>
      </c>
      <c r="T199" s="348">
        <f t="shared" si="81"/>
        <v>0</v>
      </c>
      <c r="U199" s="348">
        <f>ROUND(SUM(U192:U198),2)</f>
        <v>0</v>
      </c>
      <c r="V199" s="349" t="s">
        <v>387</v>
      </c>
      <c r="W199" s="348">
        <f>SUM(W192:W198)</f>
        <v>4545</v>
      </c>
      <c r="X199" s="348">
        <f>SUM(X192:X198)</f>
        <v>14526509.970000001</v>
      </c>
      <c r="Y199" s="348">
        <f>SUM(Y192:Y198)</f>
        <v>0</v>
      </c>
      <c r="Z199" s="348">
        <f>SUM(Z192:Z198)</f>
        <v>0</v>
      </c>
      <c r="AA199" s="348">
        <f t="shared" ref="AA199:AL199" si="82">SUM(AA192:AA198)</f>
        <v>0</v>
      </c>
      <c r="AB199" s="348">
        <f t="shared" si="82"/>
        <v>0</v>
      </c>
      <c r="AC199" s="348">
        <f>SUM(AC192:AC198)</f>
        <v>0</v>
      </c>
      <c r="AD199" s="348">
        <f t="shared" si="82"/>
        <v>0</v>
      </c>
      <c r="AE199" s="348">
        <f t="shared" si="82"/>
        <v>0</v>
      </c>
      <c r="AF199" s="348">
        <f t="shared" si="82"/>
        <v>0</v>
      </c>
      <c r="AG199" s="348">
        <f t="shared" si="82"/>
        <v>0</v>
      </c>
      <c r="AH199" s="348">
        <f t="shared" si="82"/>
        <v>0</v>
      </c>
      <c r="AI199" s="348">
        <f t="shared" si="82"/>
        <v>0</v>
      </c>
      <c r="AJ199" s="348">
        <f t="shared" si="82"/>
        <v>438326.25999999995</v>
      </c>
      <c r="AK199" s="348">
        <f t="shared" si="82"/>
        <v>223960.95999999999</v>
      </c>
      <c r="AL199" s="348">
        <f t="shared" si="82"/>
        <v>0</v>
      </c>
      <c r="AM199" s="352"/>
      <c r="AN199" s="352"/>
    </row>
    <row r="200" spans="1:40" s="19" customFormat="1" ht="10.5" hidden="1" customHeight="1">
      <c r="A200" s="514" t="s">
        <v>256</v>
      </c>
      <c r="B200" s="515"/>
      <c r="C200" s="515"/>
      <c r="D200" s="515"/>
      <c r="E200" s="515"/>
      <c r="F200" s="515"/>
      <c r="G200" s="515"/>
      <c r="H200" s="515"/>
      <c r="I200" s="515"/>
      <c r="J200" s="515"/>
      <c r="K200" s="515"/>
      <c r="L200" s="515"/>
      <c r="M200" s="515"/>
      <c r="N200" s="515"/>
      <c r="O200" s="515"/>
      <c r="P200" s="515"/>
      <c r="Q200" s="515"/>
      <c r="R200" s="515"/>
      <c r="S200" s="515"/>
      <c r="T200" s="515"/>
      <c r="U200" s="515"/>
      <c r="V200" s="515"/>
      <c r="W200" s="515"/>
      <c r="X200" s="515"/>
      <c r="Y200" s="515"/>
      <c r="Z200" s="515"/>
      <c r="AA200" s="515"/>
      <c r="AB200" s="515"/>
      <c r="AC200" s="515"/>
      <c r="AD200" s="515"/>
      <c r="AE200" s="515"/>
      <c r="AF200" s="515"/>
      <c r="AG200" s="515"/>
      <c r="AH200" s="515"/>
      <c r="AI200" s="515"/>
      <c r="AJ200" s="515"/>
      <c r="AK200" s="515"/>
      <c r="AL200" s="515"/>
      <c r="AM200" s="515"/>
      <c r="AN200" s="516"/>
    </row>
    <row r="201" spans="1:40" s="19" customFormat="1" ht="9" hidden="1" customHeight="1">
      <c r="A201" s="102">
        <v>176</v>
      </c>
      <c r="B201" s="248" t="s">
        <v>798</v>
      </c>
      <c r="C201" s="348">
        <v>4482.8999999999996</v>
      </c>
      <c r="D201" s="343"/>
      <c r="E201" s="348"/>
      <c r="F201" s="348"/>
      <c r="G201" s="117">
        <f t="shared" ref="G201:G203" si="83">ROUND(H201+U201+X201+Z201+AB201+AD201+AF201+AH201+AI201+AJ201+AK201+AL201,2)</f>
        <v>4375989.8600000003</v>
      </c>
      <c r="H201" s="348">
        <f t="shared" ref="H201:H203" si="84">I201+K201+M201+O201+Q201+S201</f>
        <v>0</v>
      </c>
      <c r="I201" s="129">
        <v>0</v>
      </c>
      <c r="J201" s="129">
        <v>0</v>
      </c>
      <c r="K201" s="129">
        <v>0</v>
      </c>
      <c r="L201" s="129">
        <v>0</v>
      </c>
      <c r="M201" s="129">
        <v>0</v>
      </c>
      <c r="N201" s="348">
        <v>0</v>
      </c>
      <c r="O201" s="348">
        <v>0</v>
      </c>
      <c r="P201" s="348">
        <v>0</v>
      </c>
      <c r="Q201" s="348">
        <v>0</v>
      </c>
      <c r="R201" s="348">
        <v>0</v>
      </c>
      <c r="S201" s="348">
        <v>0</v>
      </c>
      <c r="T201" s="44">
        <v>0</v>
      </c>
      <c r="U201" s="348">
        <v>0</v>
      </c>
      <c r="V201" s="348" t="s">
        <v>997</v>
      </c>
      <c r="W201" s="348">
        <v>1291</v>
      </c>
      <c r="X201" s="348">
        <v>4196674</v>
      </c>
      <c r="Y201" s="351">
        <v>0</v>
      </c>
      <c r="Z201" s="351">
        <v>0</v>
      </c>
      <c r="AA201" s="351">
        <v>0</v>
      </c>
      <c r="AB201" s="351">
        <v>0</v>
      </c>
      <c r="AC201" s="351">
        <v>0</v>
      </c>
      <c r="AD201" s="351">
        <v>0</v>
      </c>
      <c r="AE201" s="351">
        <v>0</v>
      </c>
      <c r="AF201" s="351">
        <v>0</v>
      </c>
      <c r="AG201" s="351">
        <v>0</v>
      </c>
      <c r="AH201" s="351">
        <v>0</v>
      </c>
      <c r="AI201" s="351">
        <v>0</v>
      </c>
      <c r="AJ201" s="351">
        <v>107301.46</v>
      </c>
      <c r="AK201" s="351">
        <v>72014.399999999994</v>
      </c>
      <c r="AL201" s="351">
        <v>0</v>
      </c>
      <c r="AM201" s="223"/>
      <c r="AN201" s="223"/>
    </row>
    <row r="202" spans="1:40" s="19" customFormat="1" ht="9" hidden="1" customHeight="1">
      <c r="A202" s="102">
        <v>177</v>
      </c>
      <c r="B202" s="248" t="s">
        <v>799</v>
      </c>
      <c r="C202" s="348">
        <v>776.5</v>
      </c>
      <c r="D202" s="343"/>
      <c r="E202" s="348"/>
      <c r="F202" s="348"/>
      <c r="G202" s="117">
        <f t="shared" si="83"/>
        <v>2878636.19</v>
      </c>
      <c r="H202" s="348">
        <f t="shared" si="84"/>
        <v>0</v>
      </c>
      <c r="I202" s="129">
        <v>0</v>
      </c>
      <c r="J202" s="129">
        <v>0</v>
      </c>
      <c r="K202" s="129">
        <v>0</v>
      </c>
      <c r="L202" s="129">
        <v>0</v>
      </c>
      <c r="M202" s="129">
        <v>0</v>
      </c>
      <c r="N202" s="348">
        <v>0</v>
      </c>
      <c r="O202" s="348">
        <v>0</v>
      </c>
      <c r="P202" s="348">
        <v>0</v>
      </c>
      <c r="Q202" s="348">
        <v>0</v>
      </c>
      <c r="R202" s="348">
        <v>0</v>
      </c>
      <c r="S202" s="348">
        <v>0</v>
      </c>
      <c r="T202" s="44">
        <v>0</v>
      </c>
      <c r="U202" s="348">
        <v>0</v>
      </c>
      <c r="V202" s="348" t="s">
        <v>998</v>
      </c>
      <c r="W202" s="348">
        <v>1030</v>
      </c>
      <c r="X202" s="348">
        <v>2801077</v>
      </c>
      <c r="Y202" s="351">
        <v>0</v>
      </c>
      <c r="Z202" s="351">
        <v>0</v>
      </c>
      <c r="AA202" s="351">
        <v>0</v>
      </c>
      <c r="AB202" s="351">
        <v>0</v>
      </c>
      <c r="AC202" s="351">
        <v>0</v>
      </c>
      <c r="AD202" s="351">
        <v>0</v>
      </c>
      <c r="AE202" s="351">
        <v>0</v>
      </c>
      <c r="AF202" s="351">
        <v>0</v>
      </c>
      <c r="AG202" s="351">
        <v>0</v>
      </c>
      <c r="AH202" s="351">
        <v>0</v>
      </c>
      <c r="AI202" s="351">
        <v>0</v>
      </c>
      <c r="AJ202" s="351">
        <v>46410.92</v>
      </c>
      <c r="AK202" s="351">
        <v>31148.27</v>
      </c>
      <c r="AL202" s="351">
        <v>0</v>
      </c>
      <c r="AM202" s="223"/>
      <c r="AN202" s="223"/>
    </row>
    <row r="203" spans="1:40" s="19" customFormat="1" ht="9" hidden="1" customHeight="1">
      <c r="A203" s="102">
        <v>178</v>
      </c>
      <c r="B203" s="248" t="s">
        <v>800</v>
      </c>
      <c r="C203" s="348">
        <v>381.3</v>
      </c>
      <c r="D203" s="343"/>
      <c r="E203" s="348"/>
      <c r="F203" s="348"/>
      <c r="G203" s="117">
        <f t="shared" si="83"/>
        <v>1405439.8</v>
      </c>
      <c r="H203" s="348">
        <f t="shared" si="84"/>
        <v>0</v>
      </c>
      <c r="I203" s="129">
        <v>0</v>
      </c>
      <c r="J203" s="129">
        <v>0</v>
      </c>
      <c r="K203" s="129">
        <v>0</v>
      </c>
      <c r="L203" s="129">
        <v>0</v>
      </c>
      <c r="M203" s="129">
        <v>0</v>
      </c>
      <c r="N203" s="348">
        <v>0</v>
      </c>
      <c r="O203" s="348">
        <v>0</v>
      </c>
      <c r="P203" s="348">
        <v>0</v>
      </c>
      <c r="Q203" s="348">
        <v>0</v>
      </c>
      <c r="R203" s="348">
        <v>0</v>
      </c>
      <c r="S203" s="348">
        <v>0</v>
      </c>
      <c r="T203" s="44">
        <v>0</v>
      </c>
      <c r="U203" s="348">
        <v>0</v>
      </c>
      <c r="V203" s="348" t="s">
        <v>998</v>
      </c>
      <c r="W203" s="348">
        <v>410</v>
      </c>
      <c r="X203" s="348">
        <v>1357607</v>
      </c>
      <c r="Y203" s="351">
        <v>0</v>
      </c>
      <c r="Z203" s="351">
        <v>0</v>
      </c>
      <c r="AA203" s="351">
        <v>0</v>
      </c>
      <c r="AB203" s="351">
        <v>0</v>
      </c>
      <c r="AC203" s="351">
        <v>0</v>
      </c>
      <c r="AD203" s="351">
        <v>0</v>
      </c>
      <c r="AE203" s="351">
        <v>0</v>
      </c>
      <c r="AF203" s="351">
        <v>0</v>
      </c>
      <c r="AG203" s="351">
        <v>0</v>
      </c>
      <c r="AH203" s="351">
        <v>0</v>
      </c>
      <c r="AI203" s="351">
        <v>0</v>
      </c>
      <c r="AJ203" s="351">
        <v>28622.84</v>
      </c>
      <c r="AK203" s="351">
        <v>19209.96</v>
      </c>
      <c r="AL203" s="351">
        <v>0</v>
      </c>
      <c r="AM203" s="223"/>
      <c r="AN203" s="223"/>
    </row>
    <row r="204" spans="1:40" s="19" customFormat="1" ht="24" hidden="1" customHeight="1">
      <c r="A204" s="623" t="s">
        <v>258</v>
      </c>
      <c r="B204" s="623"/>
      <c r="C204" s="351">
        <f t="shared" ref="C204" si="85">SUM(C201:C203)</f>
        <v>5640.7</v>
      </c>
      <c r="D204" s="249"/>
      <c r="E204" s="348"/>
      <c r="F204" s="348"/>
      <c r="G204" s="351">
        <f>ROUND(SUM(G201:G203),2)</f>
        <v>8660065.8499999996</v>
      </c>
      <c r="H204" s="351">
        <f t="shared" ref="H204:AK204" si="86">SUM(H201:H203)</f>
        <v>0</v>
      </c>
      <c r="I204" s="351">
        <f t="shared" si="86"/>
        <v>0</v>
      </c>
      <c r="J204" s="351">
        <f t="shared" si="86"/>
        <v>0</v>
      </c>
      <c r="K204" s="351">
        <f t="shared" si="86"/>
        <v>0</v>
      </c>
      <c r="L204" s="351">
        <f t="shared" si="86"/>
        <v>0</v>
      </c>
      <c r="M204" s="351">
        <f t="shared" si="86"/>
        <v>0</v>
      </c>
      <c r="N204" s="351">
        <f t="shared" si="86"/>
        <v>0</v>
      </c>
      <c r="O204" s="351">
        <f t="shared" si="86"/>
        <v>0</v>
      </c>
      <c r="P204" s="351">
        <f t="shared" si="86"/>
        <v>0</v>
      </c>
      <c r="Q204" s="351">
        <f t="shared" si="86"/>
        <v>0</v>
      </c>
      <c r="R204" s="351">
        <f t="shared" si="86"/>
        <v>0</v>
      </c>
      <c r="S204" s="351">
        <f t="shared" si="86"/>
        <v>0</v>
      </c>
      <c r="T204" s="156">
        <f t="shared" si="86"/>
        <v>0</v>
      </c>
      <c r="U204" s="351">
        <f t="shared" si="86"/>
        <v>0</v>
      </c>
      <c r="V204" s="348" t="s">
        <v>387</v>
      </c>
      <c r="W204" s="351">
        <f t="shared" si="86"/>
        <v>2731</v>
      </c>
      <c r="X204" s="351">
        <f t="shared" si="86"/>
        <v>8355358</v>
      </c>
      <c r="Y204" s="351">
        <f t="shared" si="86"/>
        <v>0</v>
      </c>
      <c r="Z204" s="351">
        <f t="shared" si="86"/>
        <v>0</v>
      </c>
      <c r="AA204" s="351">
        <f t="shared" si="86"/>
        <v>0</v>
      </c>
      <c r="AB204" s="351">
        <f t="shared" si="86"/>
        <v>0</v>
      </c>
      <c r="AC204" s="351">
        <f t="shared" si="86"/>
        <v>0</v>
      </c>
      <c r="AD204" s="351">
        <f t="shared" si="86"/>
        <v>0</v>
      </c>
      <c r="AE204" s="351">
        <f t="shared" si="86"/>
        <v>0</v>
      </c>
      <c r="AF204" s="351">
        <f t="shared" si="86"/>
        <v>0</v>
      </c>
      <c r="AG204" s="351">
        <f t="shared" si="86"/>
        <v>0</v>
      </c>
      <c r="AH204" s="351">
        <f t="shared" si="86"/>
        <v>0</v>
      </c>
      <c r="AI204" s="351">
        <f t="shared" si="86"/>
        <v>0</v>
      </c>
      <c r="AJ204" s="351">
        <f t="shared" si="86"/>
        <v>182335.22</v>
      </c>
      <c r="AK204" s="351">
        <f t="shared" si="86"/>
        <v>122372.63</v>
      </c>
      <c r="AL204" s="351">
        <f>SUM(AL201:AL203)</f>
        <v>0</v>
      </c>
      <c r="AM204" s="223"/>
      <c r="AN204" s="223"/>
    </row>
    <row r="205" spans="1:40" s="19" customFormat="1" ht="9" hidden="1" customHeight="1">
      <c r="A205" s="618" t="s">
        <v>261</v>
      </c>
      <c r="B205" s="619"/>
      <c r="C205" s="619"/>
      <c r="D205" s="619"/>
      <c r="E205" s="619"/>
      <c r="F205" s="619"/>
      <c r="G205" s="619"/>
      <c r="H205" s="619"/>
      <c r="I205" s="619"/>
      <c r="J205" s="619"/>
      <c r="K205" s="619"/>
      <c r="L205" s="619"/>
      <c r="M205" s="619"/>
      <c r="N205" s="619"/>
      <c r="O205" s="619"/>
      <c r="P205" s="619"/>
      <c r="Q205" s="619"/>
      <c r="R205" s="619"/>
      <c r="S205" s="619"/>
      <c r="T205" s="619"/>
      <c r="U205" s="619"/>
      <c r="V205" s="619"/>
      <c r="W205" s="619"/>
      <c r="X205" s="619"/>
      <c r="Y205" s="619"/>
      <c r="Z205" s="619"/>
      <c r="AA205" s="619"/>
      <c r="AB205" s="619"/>
      <c r="AC205" s="619"/>
      <c r="AD205" s="619"/>
      <c r="AE205" s="619"/>
      <c r="AF205" s="619"/>
      <c r="AG205" s="619"/>
      <c r="AH205" s="619"/>
      <c r="AI205" s="619"/>
      <c r="AJ205" s="619"/>
      <c r="AK205" s="619"/>
      <c r="AL205" s="619"/>
      <c r="AM205" s="619"/>
      <c r="AN205" s="620"/>
    </row>
    <row r="206" spans="1:40" s="19" customFormat="1" ht="9" hidden="1" customHeight="1">
      <c r="A206" s="44">
        <v>179</v>
      </c>
      <c r="B206" s="248" t="s">
        <v>803</v>
      </c>
      <c r="C206" s="348">
        <v>924.1</v>
      </c>
      <c r="D206" s="343"/>
      <c r="E206" s="348"/>
      <c r="F206" s="348"/>
      <c r="G206" s="117">
        <f t="shared" ref="G206:G209" si="87">ROUND(H206+U206+X206+Z206+AB206+AD206+AF206+AH206+AI206+AJ206+AK206+AL206,2)</f>
        <v>2803560.4</v>
      </c>
      <c r="H206" s="348">
        <f t="shared" ref="H206:H209" si="88">I206+K206+M206+O206+Q206+S206</f>
        <v>0</v>
      </c>
      <c r="I206" s="129">
        <v>0</v>
      </c>
      <c r="J206" s="129">
        <v>0</v>
      </c>
      <c r="K206" s="129">
        <v>0</v>
      </c>
      <c r="L206" s="129">
        <v>0</v>
      </c>
      <c r="M206" s="129">
        <v>0</v>
      </c>
      <c r="N206" s="348">
        <v>0</v>
      </c>
      <c r="O206" s="348">
        <v>0</v>
      </c>
      <c r="P206" s="348">
        <v>0</v>
      </c>
      <c r="Q206" s="348">
        <v>0</v>
      </c>
      <c r="R206" s="348">
        <v>0</v>
      </c>
      <c r="S206" s="348">
        <v>0</v>
      </c>
      <c r="T206" s="44">
        <v>0</v>
      </c>
      <c r="U206" s="348">
        <v>0</v>
      </c>
      <c r="V206" s="348" t="s">
        <v>998</v>
      </c>
      <c r="W206" s="348">
        <v>867</v>
      </c>
      <c r="X206" s="348">
        <v>2678055.31</v>
      </c>
      <c r="Y206" s="351">
        <v>0</v>
      </c>
      <c r="Z206" s="351">
        <v>0</v>
      </c>
      <c r="AA206" s="351">
        <v>0</v>
      </c>
      <c r="AB206" s="351">
        <v>0</v>
      </c>
      <c r="AC206" s="351">
        <v>0</v>
      </c>
      <c r="AD206" s="351">
        <v>0</v>
      </c>
      <c r="AE206" s="351">
        <v>0</v>
      </c>
      <c r="AF206" s="351">
        <v>0</v>
      </c>
      <c r="AG206" s="351">
        <v>0</v>
      </c>
      <c r="AH206" s="351">
        <v>0</v>
      </c>
      <c r="AI206" s="351">
        <v>0</v>
      </c>
      <c r="AJ206" s="351">
        <v>77965.289999999994</v>
      </c>
      <c r="AK206" s="351">
        <v>47539.8</v>
      </c>
      <c r="AL206" s="351">
        <v>0</v>
      </c>
      <c r="AM206" s="351"/>
      <c r="AN206" s="351"/>
    </row>
    <row r="207" spans="1:40" s="19" customFormat="1" ht="9" hidden="1" customHeight="1">
      <c r="A207" s="44">
        <v>180</v>
      </c>
      <c r="B207" s="248" t="s">
        <v>804</v>
      </c>
      <c r="C207" s="348">
        <v>726.8</v>
      </c>
      <c r="D207" s="343"/>
      <c r="E207" s="348"/>
      <c r="F207" s="348"/>
      <c r="G207" s="117">
        <f t="shared" si="87"/>
        <v>2098958.1</v>
      </c>
      <c r="H207" s="348">
        <f t="shared" si="88"/>
        <v>0</v>
      </c>
      <c r="I207" s="129">
        <v>0</v>
      </c>
      <c r="J207" s="129">
        <v>0</v>
      </c>
      <c r="K207" s="129">
        <v>0</v>
      </c>
      <c r="L207" s="129">
        <v>0</v>
      </c>
      <c r="M207" s="129">
        <v>0</v>
      </c>
      <c r="N207" s="348">
        <v>0</v>
      </c>
      <c r="O207" s="348">
        <v>0</v>
      </c>
      <c r="P207" s="348">
        <v>0</v>
      </c>
      <c r="Q207" s="348">
        <v>0</v>
      </c>
      <c r="R207" s="348">
        <v>0</v>
      </c>
      <c r="S207" s="348">
        <v>0</v>
      </c>
      <c r="T207" s="44">
        <v>0</v>
      </c>
      <c r="U207" s="348">
        <v>0</v>
      </c>
      <c r="V207" s="348" t="s">
        <v>998</v>
      </c>
      <c r="W207" s="348">
        <v>600.5</v>
      </c>
      <c r="X207" s="348">
        <v>2013153.6</v>
      </c>
      <c r="Y207" s="351">
        <v>0</v>
      </c>
      <c r="Z207" s="351">
        <v>0</v>
      </c>
      <c r="AA207" s="351">
        <v>0</v>
      </c>
      <c r="AB207" s="351">
        <v>0</v>
      </c>
      <c r="AC207" s="351">
        <v>0</v>
      </c>
      <c r="AD207" s="351">
        <v>0</v>
      </c>
      <c r="AE207" s="351">
        <v>0</v>
      </c>
      <c r="AF207" s="351">
        <v>0</v>
      </c>
      <c r="AG207" s="351">
        <v>0</v>
      </c>
      <c r="AH207" s="351">
        <v>0</v>
      </c>
      <c r="AI207" s="351">
        <v>0</v>
      </c>
      <c r="AJ207" s="351">
        <v>53302.8</v>
      </c>
      <c r="AK207" s="351">
        <v>32501.7</v>
      </c>
      <c r="AL207" s="351">
        <v>0</v>
      </c>
      <c r="AM207" s="351"/>
      <c r="AN207" s="351"/>
    </row>
    <row r="208" spans="1:40" s="19" customFormat="1" ht="9" hidden="1" customHeight="1">
      <c r="A208" s="44">
        <v>181</v>
      </c>
      <c r="B208" s="248" t="s">
        <v>805</v>
      </c>
      <c r="C208" s="348">
        <v>369.21</v>
      </c>
      <c r="D208" s="343"/>
      <c r="E208" s="348"/>
      <c r="F208" s="348"/>
      <c r="G208" s="117">
        <f t="shared" si="87"/>
        <v>1342815.06</v>
      </c>
      <c r="H208" s="348">
        <f t="shared" si="88"/>
        <v>0</v>
      </c>
      <c r="I208" s="129">
        <v>0</v>
      </c>
      <c r="J208" s="129">
        <v>0</v>
      </c>
      <c r="K208" s="129">
        <v>0</v>
      </c>
      <c r="L208" s="129">
        <v>0</v>
      </c>
      <c r="M208" s="129">
        <v>0</v>
      </c>
      <c r="N208" s="348">
        <v>0</v>
      </c>
      <c r="O208" s="348">
        <v>0</v>
      </c>
      <c r="P208" s="348">
        <v>0</v>
      </c>
      <c r="Q208" s="348">
        <v>0</v>
      </c>
      <c r="R208" s="348">
        <v>0</v>
      </c>
      <c r="S208" s="348">
        <v>0</v>
      </c>
      <c r="T208" s="44">
        <v>0</v>
      </c>
      <c r="U208" s="348">
        <v>0</v>
      </c>
      <c r="V208" s="348" t="s">
        <v>998</v>
      </c>
      <c r="W208" s="348">
        <v>402</v>
      </c>
      <c r="X208" s="348">
        <v>1308192.8400000001</v>
      </c>
      <c r="Y208" s="351">
        <v>0</v>
      </c>
      <c r="Z208" s="351">
        <v>0</v>
      </c>
      <c r="AA208" s="351">
        <v>0</v>
      </c>
      <c r="AB208" s="351">
        <v>0</v>
      </c>
      <c r="AC208" s="351">
        <v>0</v>
      </c>
      <c r="AD208" s="351">
        <v>0</v>
      </c>
      <c r="AE208" s="351">
        <v>0</v>
      </c>
      <c r="AF208" s="351">
        <v>0</v>
      </c>
      <c r="AG208" s="351">
        <v>0</v>
      </c>
      <c r="AH208" s="351">
        <v>0</v>
      </c>
      <c r="AI208" s="351">
        <v>0</v>
      </c>
      <c r="AJ208" s="351">
        <v>23042.880000000001</v>
      </c>
      <c r="AK208" s="351">
        <v>11579.34</v>
      </c>
      <c r="AL208" s="351">
        <v>0</v>
      </c>
      <c r="AM208" s="351"/>
      <c r="AN208" s="351"/>
    </row>
    <row r="209" spans="1:40" s="19" customFormat="1" ht="9" hidden="1" customHeight="1">
      <c r="A209" s="44">
        <v>182</v>
      </c>
      <c r="B209" s="248" t="s">
        <v>806</v>
      </c>
      <c r="C209" s="348">
        <v>287.5</v>
      </c>
      <c r="D209" s="343"/>
      <c r="E209" s="348"/>
      <c r="F209" s="348"/>
      <c r="G209" s="117">
        <f t="shared" si="87"/>
        <v>817294.53</v>
      </c>
      <c r="H209" s="348">
        <f t="shared" si="88"/>
        <v>0</v>
      </c>
      <c r="I209" s="129">
        <v>0</v>
      </c>
      <c r="J209" s="129">
        <v>0</v>
      </c>
      <c r="K209" s="129">
        <v>0</v>
      </c>
      <c r="L209" s="129">
        <v>0</v>
      </c>
      <c r="M209" s="129">
        <v>0</v>
      </c>
      <c r="N209" s="348">
        <v>0</v>
      </c>
      <c r="O209" s="348">
        <v>0</v>
      </c>
      <c r="P209" s="348">
        <v>0</v>
      </c>
      <c r="Q209" s="348">
        <v>0</v>
      </c>
      <c r="R209" s="348">
        <v>0</v>
      </c>
      <c r="S209" s="348">
        <v>0</v>
      </c>
      <c r="T209" s="44">
        <v>0</v>
      </c>
      <c r="U209" s="348">
        <v>0</v>
      </c>
      <c r="V209" s="348" t="s">
        <v>998</v>
      </c>
      <c r="W209" s="348">
        <v>262.2</v>
      </c>
      <c r="X209" s="348">
        <v>795093.44</v>
      </c>
      <c r="Y209" s="351">
        <v>0</v>
      </c>
      <c r="Z209" s="351">
        <v>0</v>
      </c>
      <c r="AA209" s="351">
        <v>0</v>
      </c>
      <c r="AB209" s="351">
        <v>0</v>
      </c>
      <c r="AC209" s="351">
        <v>0</v>
      </c>
      <c r="AD209" s="351">
        <v>0</v>
      </c>
      <c r="AE209" s="351">
        <v>0</v>
      </c>
      <c r="AF209" s="351">
        <v>0</v>
      </c>
      <c r="AG209" s="351">
        <v>0</v>
      </c>
      <c r="AH209" s="351">
        <v>0</v>
      </c>
      <c r="AI209" s="351">
        <v>0</v>
      </c>
      <c r="AJ209" s="351">
        <v>13139.42</v>
      </c>
      <c r="AK209" s="351">
        <v>9061.67</v>
      </c>
      <c r="AL209" s="351">
        <v>0</v>
      </c>
      <c r="AM209" s="351"/>
      <c r="AN209" s="351"/>
    </row>
    <row r="210" spans="1:40" s="19" customFormat="1" ht="34.5" hidden="1" customHeight="1">
      <c r="A210" s="621" t="s">
        <v>437</v>
      </c>
      <c r="B210" s="621"/>
      <c r="C210" s="348">
        <f>SUM(C206:C209)</f>
        <v>2307.61</v>
      </c>
      <c r="D210" s="348"/>
      <c r="E210" s="348"/>
      <c r="F210" s="348"/>
      <c r="G210" s="348">
        <f>ROUND(SUM(G206:G209),2)</f>
        <v>7062628.0899999999</v>
      </c>
      <c r="H210" s="348">
        <f t="shared" ref="H210:AL210" si="89">SUM(H206:H209)</f>
        <v>0</v>
      </c>
      <c r="I210" s="348">
        <f t="shared" si="89"/>
        <v>0</v>
      </c>
      <c r="J210" s="348">
        <f t="shared" si="89"/>
        <v>0</v>
      </c>
      <c r="K210" s="348">
        <f t="shared" si="89"/>
        <v>0</v>
      </c>
      <c r="L210" s="348">
        <f t="shared" si="89"/>
        <v>0</v>
      </c>
      <c r="M210" s="348">
        <f t="shared" si="89"/>
        <v>0</v>
      </c>
      <c r="N210" s="348">
        <f t="shared" si="89"/>
        <v>0</v>
      </c>
      <c r="O210" s="348">
        <f t="shared" si="89"/>
        <v>0</v>
      </c>
      <c r="P210" s="348">
        <f t="shared" si="89"/>
        <v>0</v>
      </c>
      <c r="Q210" s="348">
        <f t="shared" si="89"/>
        <v>0</v>
      </c>
      <c r="R210" s="348">
        <f t="shared" si="89"/>
        <v>0</v>
      </c>
      <c r="S210" s="348">
        <f t="shared" si="89"/>
        <v>0</v>
      </c>
      <c r="T210" s="44">
        <f t="shared" si="89"/>
        <v>0</v>
      </c>
      <c r="U210" s="348">
        <f t="shared" si="89"/>
        <v>0</v>
      </c>
      <c r="V210" s="348" t="s">
        <v>387</v>
      </c>
      <c r="W210" s="348">
        <f t="shared" si="89"/>
        <v>2131.6999999999998</v>
      </c>
      <c r="X210" s="348">
        <f t="shared" si="89"/>
        <v>6794495.1899999995</v>
      </c>
      <c r="Y210" s="348">
        <f t="shared" si="89"/>
        <v>0</v>
      </c>
      <c r="Z210" s="348">
        <f t="shared" si="89"/>
        <v>0</v>
      </c>
      <c r="AA210" s="348">
        <f t="shared" si="89"/>
        <v>0</v>
      </c>
      <c r="AB210" s="348">
        <f t="shared" si="89"/>
        <v>0</v>
      </c>
      <c r="AC210" s="348">
        <f t="shared" si="89"/>
        <v>0</v>
      </c>
      <c r="AD210" s="348">
        <f t="shared" si="89"/>
        <v>0</v>
      </c>
      <c r="AE210" s="348">
        <f t="shared" si="89"/>
        <v>0</v>
      </c>
      <c r="AF210" s="348">
        <f t="shared" si="89"/>
        <v>0</v>
      </c>
      <c r="AG210" s="348">
        <f t="shared" si="89"/>
        <v>0</v>
      </c>
      <c r="AH210" s="348">
        <f t="shared" si="89"/>
        <v>0</v>
      </c>
      <c r="AI210" s="348">
        <f t="shared" si="89"/>
        <v>0</v>
      </c>
      <c r="AJ210" s="348">
        <f t="shared" si="89"/>
        <v>167450.39000000001</v>
      </c>
      <c r="AK210" s="348">
        <f t="shared" si="89"/>
        <v>100682.51</v>
      </c>
      <c r="AL210" s="348">
        <f t="shared" si="89"/>
        <v>0</v>
      </c>
      <c r="AM210" s="351"/>
      <c r="AN210" s="351"/>
    </row>
    <row r="211" spans="1:40" s="19" customFormat="1" ht="9" hidden="1" customHeight="1">
      <c r="A211" s="622" t="s">
        <v>391</v>
      </c>
      <c r="B211" s="622"/>
      <c r="C211" s="619"/>
      <c r="D211" s="619"/>
      <c r="E211" s="619"/>
      <c r="F211" s="619"/>
      <c r="G211" s="622"/>
      <c r="H211" s="622"/>
      <c r="I211" s="622"/>
      <c r="J211" s="619"/>
      <c r="K211" s="622"/>
      <c r="L211" s="619"/>
      <c r="M211" s="622"/>
      <c r="N211" s="619"/>
      <c r="O211" s="622"/>
      <c r="P211" s="619"/>
      <c r="Q211" s="622"/>
      <c r="R211" s="619"/>
      <c r="S211" s="622"/>
      <c r="T211" s="622"/>
      <c r="U211" s="622"/>
      <c r="V211" s="622"/>
      <c r="W211" s="622"/>
      <c r="X211" s="622"/>
      <c r="Y211" s="622"/>
      <c r="Z211" s="622"/>
      <c r="AA211" s="622"/>
      <c r="AB211" s="622"/>
      <c r="AC211" s="622"/>
      <c r="AD211" s="622"/>
      <c r="AE211" s="622"/>
      <c r="AF211" s="622"/>
      <c r="AG211" s="622"/>
      <c r="AH211" s="622"/>
      <c r="AI211" s="622"/>
      <c r="AJ211" s="622"/>
      <c r="AK211" s="622"/>
      <c r="AL211" s="622"/>
      <c r="AM211" s="331"/>
      <c r="AN211" s="352"/>
    </row>
    <row r="212" spans="1:40" s="19" customFormat="1" ht="9" hidden="1" customHeight="1">
      <c r="A212" s="44">
        <v>183</v>
      </c>
      <c r="B212" s="248" t="s">
        <v>807</v>
      </c>
      <c r="C212" s="348">
        <v>1055</v>
      </c>
      <c r="D212" s="343"/>
      <c r="E212" s="348"/>
      <c r="F212" s="348"/>
      <c r="G212" s="117">
        <f t="shared" ref="G212" si="90">ROUND(H212+U212+X212+Z212+AB212+AD212+AF212+AH212+AI212+AJ212+AK212+AL212,2)</f>
        <v>1408209.95</v>
      </c>
      <c r="H212" s="348">
        <f t="shared" ref="H212" si="91">I212+K212+M212+O212+Q212+S212</f>
        <v>0</v>
      </c>
      <c r="I212" s="129">
        <v>0</v>
      </c>
      <c r="J212" s="129">
        <v>0</v>
      </c>
      <c r="K212" s="129">
        <v>0</v>
      </c>
      <c r="L212" s="129">
        <v>0</v>
      </c>
      <c r="M212" s="129">
        <v>0</v>
      </c>
      <c r="N212" s="348">
        <v>0</v>
      </c>
      <c r="O212" s="348">
        <v>0</v>
      </c>
      <c r="P212" s="348">
        <v>0</v>
      </c>
      <c r="Q212" s="348">
        <v>0</v>
      </c>
      <c r="R212" s="348">
        <v>0</v>
      </c>
      <c r="S212" s="348">
        <v>0</v>
      </c>
      <c r="T212" s="44">
        <v>0</v>
      </c>
      <c r="U212" s="348">
        <v>0</v>
      </c>
      <c r="V212" s="348" t="s">
        <v>997</v>
      </c>
      <c r="W212" s="348">
        <v>343</v>
      </c>
      <c r="X212" s="348">
        <v>1358436</v>
      </c>
      <c r="Y212" s="351">
        <v>0</v>
      </c>
      <c r="Z212" s="351">
        <v>0</v>
      </c>
      <c r="AA212" s="351">
        <v>0</v>
      </c>
      <c r="AB212" s="351">
        <v>0</v>
      </c>
      <c r="AC212" s="351">
        <v>0</v>
      </c>
      <c r="AD212" s="351">
        <v>0</v>
      </c>
      <c r="AE212" s="351">
        <v>0</v>
      </c>
      <c r="AF212" s="351">
        <v>0</v>
      </c>
      <c r="AG212" s="351">
        <v>0</v>
      </c>
      <c r="AH212" s="351">
        <v>0</v>
      </c>
      <c r="AI212" s="351">
        <v>0</v>
      </c>
      <c r="AJ212" s="351">
        <v>30920.18</v>
      </c>
      <c r="AK212" s="351">
        <v>18853.77</v>
      </c>
      <c r="AL212" s="351">
        <v>0</v>
      </c>
      <c r="AM212" s="223"/>
      <c r="AN212" s="223"/>
    </row>
    <row r="213" spans="1:40" s="19" customFormat="1" ht="9" hidden="1" customHeight="1">
      <c r="A213" s="44">
        <v>184</v>
      </c>
      <c r="B213" s="248" t="s">
        <v>808</v>
      </c>
      <c r="C213" s="348">
        <v>961.6</v>
      </c>
      <c r="D213" s="343"/>
      <c r="E213" s="348"/>
      <c r="F213" s="348"/>
      <c r="G213" s="117">
        <f>ROUND(H213+U213+X213+Z213+AB213+AD213+AF213+AH213+AI213+AJ213+AK213+AL213,2)</f>
        <v>1851215.88</v>
      </c>
      <c r="H213" s="348">
        <f t="shared" ref="H213:H226" si="92">I213+K213+M213+O213+Q213+S213</f>
        <v>0</v>
      </c>
      <c r="I213" s="129">
        <v>0</v>
      </c>
      <c r="J213" s="129">
        <v>0</v>
      </c>
      <c r="K213" s="129">
        <v>0</v>
      </c>
      <c r="L213" s="129">
        <v>0</v>
      </c>
      <c r="M213" s="129">
        <v>0</v>
      </c>
      <c r="N213" s="348">
        <v>0</v>
      </c>
      <c r="O213" s="348">
        <v>0</v>
      </c>
      <c r="P213" s="348">
        <v>0</v>
      </c>
      <c r="Q213" s="348">
        <v>0</v>
      </c>
      <c r="R213" s="348">
        <v>0</v>
      </c>
      <c r="S213" s="348">
        <v>0</v>
      </c>
      <c r="T213" s="44">
        <v>0</v>
      </c>
      <c r="U213" s="348">
        <v>0</v>
      </c>
      <c r="V213" s="348" t="s">
        <v>997</v>
      </c>
      <c r="W213" s="348">
        <v>430.2</v>
      </c>
      <c r="X213" s="348">
        <v>1791804</v>
      </c>
      <c r="Y213" s="351">
        <v>0</v>
      </c>
      <c r="Z213" s="351">
        <v>0</v>
      </c>
      <c r="AA213" s="351">
        <v>0</v>
      </c>
      <c r="AB213" s="351">
        <v>0</v>
      </c>
      <c r="AC213" s="351">
        <v>0</v>
      </c>
      <c r="AD213" s="351">
        <v>0</v>
      </c>
      <c r="AE213" s="351">
        <v>0</v>
      </c>
      <c r="AF213" s="351">
        <v>0</v>
      </c>
      <c r="AG213" s="351">
        <v>0</v>
      </c>
      <c r="AH213" s="351">
        <v>0</v>
      </c>
      <c r="AI213" s="351">
        <v>0</v>
      </c>
      <c r="AJ213" s="351">
        <v>36907.379999999997</v>
      </c>
      <c r="AK213" s="351">
        <v>22504.5</v>
      </c>
      <c r="AL213" s="351">
        <v>0</v>
      </c>
      <c r="AM213" s="223"/>
      <c r="AN213" s="223"/>
    </row>
    <row r="214" spans="1:40" s="19" customFormat="1" ht="9" hidden="1" customHeight="1">
      <c r="A214" s="44">
        <v>185</v>
      </c>
      <c r="B214" s="248" t="s">
        <v>809</v>
      </c>
      <c r="C214" s="348">
        <v>571.1</v>
      </c>
      <c r="D214" s="343"/>
      <c r="E214" s="348"/>
      <c r="F214" s="348"/>
      <c r="G214" s="117">
        <f>ROUND(H214+U214+X214+Z214+AB214+AD214+AF214+AH214+AI214+AJ214+AK214+AL214,2)</f>
        <v>1076977.31</v>
      </c>
      <c r="H214" s="348">
        <f t="shared" si="92"/>
        <v>0</v>
      </c>
      <c r="I214" s="129">
        <v>0</v>
      </c>
      <c r="J214" s="129">
        <v>0</v>
      </c>
      <c r="K214" s="129">
        <v>0</v>
      </c>
      <c r="L214" s="129">
        <v>0</v>
      </c>
      <c r="M214" s="129">
        <v>0</v>
      </c>
      <c r="N214" s="348">
        <v>0</v>
      </c>
      <c r="O214" s="348">
        <v>0</v>
      </c>
      <c r="P214" s="348">
        <v>0</v>
      </c>
      <c r="Q214" s="348">
        <v>0</v>
      </c>
      <c r="R214" s="348">
        <v>0</v>
      </c>
      <c r="S214" s="348">
        <v>0</v>
      </c>
      <c r="T214" s="44">
        <v>0</v>
      </c>
      <c r="U214" s="348">
        <v>0</v>
      </c>
      <c r="V214" s="348" t="s">
        <v>997</v>
      </c>
      <c r="W214" s="348">
        <v>242</v>
      </c>
      <c r="X214" s="348">
        <v>1005935</v>
      </c>
      <c r="Y214" s="351">
        <v>0</v>
      </c>
      <c r="Z214" s="351">
        <v>0</v>
      </c>
      <c r="AA214" s="351">
        <v>0</v>
      </c>
      <c r="AB214" s="351">
        <v>0</v>
      </c>
      <c r="AC214" s="351">
        <v>0</v>
      </c>
      <c r="AD214" s="351">
        <v>0</v>
      </c>
      <c r="AE214" s="351">
        <v>0</v>
      </c>
      <c r="AF214" s="351">
        <v>0</v>
      </c>
      <c r="AG214" s="351">
        <v>0</v>
      </c>
      <c r="AH214" s="351">
        <v>0</v>
      </c>
      <c r="AI214" s="351">
        <v>0</v>
      </c>
      <c r="AJ214" s="351">
        <v>41926.61</v>
      </c>
      <c r="AK214" s="351">
        <v>29115.7</v>
      </c>
      <c r="AL214" s="351">
        <v>0</v>
      </c>
      <c r="AM214" s="223"/>
      <c r="AN214" s="223"/>
    </row>
    <row r="215" spans="1:40" s="19" customFormat="1" ht="9" hidden="1" customHeight="1">
      <c r="A215" s="44">
        <v>186</v>
      </c>
      <c r="B215" s="248" t="s">
        <v>810</v>
      </c>
      <c r="C215" s="348">
        <v>844.6</v>
      </c>
      <c r="D215" s="343"/>
      <c r="E215" s="348"/>
      <c r="F215" s="348"/>
      <c r="G215" s="117">
        <f t="shared" ref="G215:G221" si="93">ROUND(H215+U215+X215+Z215+AB215+AD215+AF215+AH215+AI215+AJ215+AK215+AL215,2)</f>
        <v>1280387.31</v>
      </c>
      <c r="H215" s="348">
        <f t="shared" si="92"/>
        <v>0</v>
      </c>
      <c r="I215" s="129">
        <v>0</v>
      </c>
      <c r="J215" s="129">
        <v>0</v>
      </c>
      <c r="K215" s="129">
        <v>0</v>
      </c>
      <c r="L215" s="129">
        <v>0</v>
      </c>
      <c r="M215" s="129">
        <v>0</v>
      </c>
      <c r="N215" s="348">
        <v>0</v>
      </c>
      <c r="O215" s="348">
        <v>0</v>
      </c>
      <c r="P215" s="348">
        <v>0</v>
      </c>
      <c r="Q215" s="348">
        <v>0</v>
      </c>
      <c r="R215" s="348">
        <v>0</v>
      </c>
      <c r="S215" s="348">
        <v>0</v>
      </c>
      <c r="T215" s="44">
        <v>0</v>
      </c>
      <c r="U215" s="348">
        <v>0</v>
      </c>
      <c r="V215" s="348" t="s">
        <v>998</v>
      </c>
      <c r="W215" s="348">
        <v>372</v>
      </c>
      <c r="X215" s="348">
        <v>1209345</v>
      </c>
      <c r="Y215" s="351">
        <v>0</v>
      </c>
      <c r="Z215" s="351">
        <v>0</v>
      </c>
      <c r="AA215" s="351">
        <v>0</v>
      </c>
      <c r="AB215" s="351">
        <v>0</v>
      </c>
      <c r="AC215" s="351">
        <v>0</v>
      </c>
      <c r="AD215" s="351">
        <v>0</v>
      </c>
      <c r="AE215" s="351">
        <v>0</v>
      </c>
      <c r="AF215" s="351">
        <v>0</v>
      </c>
      <c r="AG215" s="351">
        <v>0</v>
      </c>
      <c r="AH215" s="351">
        <v>0</v>
      </c>
      <c r="AI215" s="351">
        <v>0</v>
      </c>
      <c r="AJ215" s="351">
        <v>41926.61</v>
      </c>
      <c r="AK215" s="351">
        <v>29115.7</v>
      </c>
      <c r="AL215" s="351">
        <v>0</v>
      </c>
      <c r="AM215" s="223"/>
      <c r="AN215" s="223"/>
    </row>
    <row r="216" spans="1:40" s="19" customFormat="1" ht="9" hidden="1" customHeight="1">
      <c r="A216" s="44">
        <v>187</v>
      </c>
      <c r="B216" s="248" t="s">
        <v>811</v>
      </c>
      <c r="C216" s="348">
        <v>638.20000000000005</v>
      </c>
      <c r="D216" s="343"/>
      <c r="E216" s="348"/>
      <c r="F216" s="348"/>
      <c r="G216" s="117">
        <f t="shared" si="93"/>
        <v>1430703.04</v>
      </c>
      <c r="H216" s="348">
        <f t="shared" si="92"/>
        <v>0</v>
      </c>
      <c r="I216" s="129">
        <v>0</v>
      </c>
      <c r="J216" s="129">
        <v>0</v>
      </c>
      <c r="K216" s="129">
        <v>0</v>
      </c>
      <c r="L216" s="129">
        <v>0</v>
      </c>
      <c r="M216" s="129">
        <v>0</v>
      </c>
      <c r="N216" s="348">
        <v>0</v>
      </c>
      <c r="O216" s="348">
        <v>0</v>
      </c>
      <c r="P216" s="348">
        <v>0</v>
      </c>
      <c r="Q216" s="348">
        <v>0</v>
      </c>
      <c r="R216" s="348">
        <v>0</v>
      </c>
      <c r="S216" s="348">
        <v>0</v>
      </c>
      <c r="T216" s="44">
        <v>0</v>
      </c>
      <c r="U216" s="348">
        <v>0</v>
      </c>
      <c r="V216" s="348" t="s">
        <v>997</v>
      </c>
      <c r="W216" s="348">
        <v>441</v>
      </c>
      <c r="X216" s="348">
        <v>1365482</v>
      </c>
      <c r="Y216" s="351">
        <v>0</v>
      </c>
      <c r="Z216" s="351">
        <v>0</v>
      </c>
      <c r="AA216" s="351">
        <v>0</v>
      </c>
      <c r="AB216" s="351">
        <v>0</v>
      </c>
      <c r="AC216" s="351">
        <v>0</v>
      </c>
      <c r="AD216" s="351">
        <v>0</v>
      </c>
      <c r="AE216" s="351">
        <v>0</v>
      </c>
      <c r="AF216" s="351">
        <v>0</v>
      </c>
      <c r="AG216" s="351">
        <v>0</v>
      </c>
      <c r="AH216" s="351">
        <v>0</v>
      </c>
      <c r="AI216" s="351">
        <v>0</v>
      </c>
      <c r="AJ216" s="351">
        <v>40516.1</v>
      </c>
      <c r="AK216" s="351">
        <v>24704.94</v>
      </c>
      <c r="AL216" s="351">
        <v>0</v>
      </c>
      <c r="AM216" s="223"/>
      <c r="AN216" s="223"/>
    </row>
    <row r="217" spans="1:40" s="19" customFormat="1" ht="9" hidden="1" customHeight="1">
      <c r="A217" s="44">
        <v>188</v>
      </c>
      <c r="B217" s="346" t="s">
        <v>812</v>
      </c>
      <c r="C217" s="348">
        <v>3181.15</v>
      </c>
      <c r="D217" s="343"/>
      <c r="E217" s="348"/>
      <c r="F217" s="348"/>
      <c r="G217" s="117">
        <f t="shared" si="93"/>
        <v>3892466.41</v>
      </c>
      <c r="H217" s="348">
        <f t="shared" si="92"/>
        <v>0</v>
      </c>
      <c r="I217" s="129">
        <v>0</v>
      </c>
      <c r="J217" s="129">
        <v>0</v>
      </c>
      <c r="K217" s="129">
        <v>0</v>
      </c>
      <c r="L217" s="129">
        <v>0</v>
      </c>
      <c r="M217" s="129">
        <v>0</v>
      </c>
      <c r="N217" s="348">
        <v>0</v>
      </c>
      <c r="O217" s="348">
        <v>0</v>
      </c>
      <c r="P217" s="348">
        <v>0</v>
      </c>
      <c r="Q217" s="348">
        <v>0</v>
      </c>
      <c r="R217" s="348">
        <v>0</v>
      </c>
      <c r="S217" s="348">
        <v>0</v>
      </c>
      <c r="T217" s="44">
        <v>0</v>
      </c>
      <c r="U217" s="348">
        <v>0</v>
      </c>
      <c r="V217" s="348" t="s">
        <v>997</v>
      </c>
      <c r="W217" s="348">
        <v>968</v>
      </c>
      <c r="X217" s="348">
        <v>3780394</v>
      </c>
      <c r="Y217" s="351">
        <v>0</v>
      </c>
      <c r="Z217" s="351">
        <v>0</v>
      </c>
      <c r="AA217" s="351">
        <v>0</v>
      </c>
      <c r="AB217" s="351">
        <v>0</v>
      </c>
      <c r="AC217" s="351">
        <v>0</v>
      </c>
      <c r="AD217" s="351">
        <v>0</v>
      </c>
      <c r="AE217" s="351">
        <v>0</v>
      </c>
      <c r="AF217" s="351">
        <v>0</v>
      </c>
      <c r="AG217" s="351">
        <v>0</v>
      </c>
      <c r="AH217" s="351">
        <v>0</v>
      </c>
      <c r="AI217" s="351">
        <v>0</v>
      </c>
      <c r="AJ217" s="351">
        <v>67063.41</v>
      </c>
      <c r="AK217" s="351">
        <v>45009</v>
      </c>
      <c r="AL217" s="351">
        <v>0</v>
      </c>
      <c r="AM217" s="223"/>
      <c r="AN217" s="223"/>
    </row>
    <row r="218" spans="1:40" s="19" customFormat="1" ht="9" hidden="1" customHeight="1">
      <c r="A218" s="44">
        <v>189</v>
      </c>
      <c r="B218" s="346" t="s">
        <v>813</v>
      </c>
      <c r="C218" s="348">
        <v>1127.8699999999999</v>
      </c>
      <c r="D218" s="343"/>
      <c r="E218" s="348"/>
      <c r="F218" s="348"/>
      <c r="G218" s="117">
        <f t="shared" si="93"/>
        <v>1994185.8</v>
      </c>
      <c r="H218" s="348">
        <f t="shared" si="92"/>
        <v>0</v>
      </c>
      <c r="I218" s="129">
        <v>0</v>
      </c>
      <c r="J218" s="129">
        <v>0</v>
      </c>
      <c r="K218" s="129">
        <v>0</v>
      </c>
      <c r="L218" s="129">
        <v>0</v>
      </c>
      <c r="M218" s="129">
        <v>0</v>
      </c>
      <c r="N218" s="348">
        <v>0</v>
      </c>
      <c r="O218" s="348">
        <v>0</v>
      </c>
      <c r="P218" s="348">
        <v>0</v>
      </c>
      <c r="Q218" s="348">
        <v>0</v>
      </c>
      <c r="R218" s="348">
        <v>0</v>
      </c>
      <c r="S218" s="348">
        <v>0</v>
      </c>
      <c r="T218" s="44">
        <v>0</v>
      </c>
      <c r="U218" s="348">
        <v>0</v>
      </c>
      <c r="V218" s="348" t="s">
        <v>998</v>
      </c>
      <c r="W218" s="348">
        <v>630</v>
      </c>
      <c r="X218" s="348">
        <v>1898136</v>
      </c>
      <c r="Y218" s="351">
        <v>0</v>
      </c>
      <c r="Z218" s="351">
        <v>0</v>
      </c>
      <c r="AA218" s="351">
        <v>0</v>
      </c>
      <c r="AB218" s="351">
        <v>0</v>
      </c>
      <c r="AC218" s="351">
        <v>0</v>
      </c>
      <c r="AD218" s="351">
        <v>0</v>
      </c>
      <c r="AE218" s="351">
        <v>0</v>
      </c>
      <c r="AF218" s="351">
        <v>0</v>
      </c>
      <c r="AG218" s="351">
        <v>0</v>
      </c>
      <c r="AH218" s="351">
        <v>0</v>
      </c>
      <c r="AI218" s="351">
        <v>0</v>
      </c>
      <c r="AJ218" s="351">
        <v>59667.3</v>
      </c>
      <c r="AK218" s="351">
        <v>36382.5</v>
      </c>
      <c r="AL218" s="351">
        <v>0</v>
      </c>
      <c r="AM218" s="223"/>
      <c r="AN218" s="223"/>
    </row>
    <row r="219" spans="1:40" s="19" customFormat="1" ht="9" hidden="1" customHeight="1">
      <c r="A219" s="44">
        <v>190</v>
      </c>
      <c r="B219" s="346" t="s">
        <v>814</v>
      </c>
      <c r="C219" s="348">
        <v>1113.9000000000001</v>
      </c>
      <c r="D219" s="343"/>
      <c r="E219" s="348"/>
      <c r="F219" s="348"/>
      <c r="G219" s="117">
        <f t="shared" si="93"/>
        <v>2024046.8</v>
      </c>
      <c r="H219" s="348">
        <f t="shared" si="92"/>
        <v>0</v>
      </c>
      <c r="I219" s="129">
        <v>0</v>
      </c>
      <c r="J219" s="129">
        <v>0</v>
      </c>
      <c r="K219" s="129">
        <v>0</v>
      </c>
      <c r="L219" s="129">
        <v>0</v>
      </c>
      <c r="M219" s="129">
        <v>0</v>
      </c>
      <c r="N219" s="348">
        <v>0</v>
      </c>
      <c r="O219" s="348">
        <v>0</v>
      </c>
      <c r="P219" s="348">
        <v>0</v>
      </c>
      <c r="Q219" s="348">
        <v>0</v>
      </c>
      <c r="R219" s="348">
        <v>0</v>
      </c>
      <c r="S219" s="348">
        <v>0</v>
      </c>
      <c r="T219" s="44">
        <v>0</v>
      </c>
      <c r="U219" s="348">
        <v>0</v>
      </c>
      <c r="V219" s="348" t="s">
        <v>998</v>
      </c>
      <c r="W219" s="348">
        <v>615</v>
      </c>
      <c r="X219" s="348">
        <v>1927997</v>
      </c>
      <c r="Y219" s="351">
        <v>0</v>
      </c>
      <c r="Z219" s="351">
        <v>0</v>
      </c>
      <c r="AA219" s="351">
        <v>0</v>
      </c>
      <c r="AB219" s="351">
        <v>0</v>
      </c>
      <c r="AC219" s="351">
        <v>0</v>
      </c>
      <c r="AD219" s="351">
        <v>0</v>
      </c>
      <c r="AE219" s="351">
        <v>0</v>
      </c>
      <c r="AF219" s="351">
        <v>0</v>
      </c>
      <c r="AG219" s="351">
        <v>0</v>
      </c>
      <c r="AH219" s="351">
        <v>0</v>
      </c>
      <c r="AI219" s="351">
        <v>0</v>
      </c>
      <c r="AJ219" s="351">
        <v>59667.3</v>
      </c>
      <c r="AK219" s="351">
        <v>36382.5</v>
      </c>
      <c r="AL219" s="351">
        <v>0</v>
      </c>
      <c r="AM219" s="223"/>
      <c r="AN219" s="223"/>
    </row>
    <row r="220" spans="1:40" s="19" customFormat="1" ht="9" hidden="1" customHeight="1">
      <c r="A220" s="44">
        <v>191</v>
      </c>
      <c r="B220" s="346" t="s">
        <v>815</v>
      </c>
      <c r="C220" s="348">
        <v>1076.7</v>
      </c>
      <c r="D220" s="343"/>
      <c r="E220" s="348"/>
      <c r="F220" s="348"/>
      <c r="G220" s="117">
        <f t="shared" si="93"/>
        <v>1593150.21</v>
      </c>
      <c r="H220" s="348">
        <f t="shared" si="92"/>
        <v>0</v>
      </c>
      <c r="I220" s="129">
        <v>0</v>
      </c>
      <c r="J220" s="129">
        <v>0</v>
      </c>
      <c r="K220" s="129">
        <v>0</v>
      </c>
      <c r="L220" s="129">
        <v>0</v>
      </c>
      <c r="M220" s="129">
        <v>0</v>
      </c>
      <c r="N220" s="348">
        <v>0</v>
      </c>
      <c r="O220" s="348">
        <v>0</v>
      </c>
      <c r="P220" s="348">
        <v>0</v>
      </c>
      <c r="Q220" s="348">
        <v>0</v>
      </c>
      <c r="R220" s="348">
        <v>0</v>
      </c>
      <c r="S220" s="348">
        <v>0</v>
      </c>
      <c r="T220" s="44">
        <v>0</v>
      </c>
      <c r="U220" s="348">
        <v>0</v>
      </c>
      <c r="V220" s="348" t="s">
        <v>997</v>
      </c>
      <c r="W220" s="348">
        <v>730</v>
      </c>
      <c r="X220" s="348">
        <v>1502052</v>
      </c>
      <c r="Y220" s="351">
        <v>0</v>
      </c>
      <c r="Z220" s="351">
        <v>0</v>
      </c>
      <c r="AA220" s="351">
        <v>0</v>
      </c>
      <c r="AB220" s="351">
        <v>0</v>
      </c>
      <c r="AC220" s="351">
        <v>0</v>
      </c>
      <c r="AD220" s="351">
        <v>0</v>
      </c>
      <c r="AE220" s="351">
        <v>0</v>
      </c>
      <c r="AF220" s="351">
        <v>0</v>
      </c>
      <c r="AG220" s="351">
        <v>0</v>
      </c>
      <c r="AH220" s="351">
        <v>0</v>
      </c>
      <c r="AI220" s="351">
        <v>0</v>
      </c>
      <c r="AJ220" s="351">
        <v>56591.31</v>
      </c>
      <c r="AK220" s="351">
        <v>34506.9</v>
      </c>
      <c r="AL220" s="351">
        <v>0</v>
      </c>
      <c r="AM220" s="223"/>
      <c r="AN220" s="223"/>
    </row>
    <row r="221" spans="1:40" s="19" customFormat="1" ht="9" hidden="1" customHeight="1">
      <c r="A221" s="44">
        <v>192</v>
      </c>
      <c r="B221" s="346" t="s">
        <v>816</v>
      </c>
      <c r="C221" s="348">
        <v>255</v>
      </c>
      <c r="D221" s="343"/>
      <c r="E221" s="348"/>
      <c r="F221" s="348"/>
      <c r="G221" s="117">
        <f t="shared" si="93"/>
        <v>1004210.95</v>
      </c>
      <c r="H221" s="348">
        <f t="shared" si="92"/>
        <v>0</v>
      </c>
      <c r="I221" s="129">
        <v>0</v>
      </c>
      <c r="J221" s="129">
        <v>0</v>
      </c>
      <c r="K221" s="129">
        <v>0</v>
      </c>
      <c r="L221" s="129">
        <v>0</v>
      </c>
      <c r="M221" s="129">
        <v>0</v>
      </c>
      <c r="N221" s="348">
        <v>0</v>
      </c>
      <c r="O221" s="348">
        <v>0</v>
      </c>
      <c r="P221" s="348">
        <v>0</v>
      </c>
      <c r="Q221" s="348">
        <v>0</v>
      </c>
      <c r="R221" s="348">
        <v>0</v>
      </c>
      <c r="S221" s="348">
        <v>0</v>
      </c>
      <c r="T221" s="44">
        <v>0</v>
      </c>
      <c r="U221" s="348">
        <v>0</v>
      </c>
      <c r="V221" s="348" t="s">
        <v>997</v>
      </c>
      <c r="W221" s="348">
        <v>251.5</v>
      </c>
      <c r="X221" s="348">
        <v>957736</v>
      </c>
      <c r="Y221" s="351">
        <v>0</v>
      </c>
      <c r="Z221" s="351">
        <v>0</v>
      </c>
      <c r="AA221" s="351">
        <v>0</v>
      </c>
      <c r="AB221" s="351">
        <v>0</v>
      </c>
      <c r="AC221" s="351">
        <v>0</v>
      </c>
      <c r="AD221" s="351">
        <v>0</v>
      </c>
      <c r="AE221" s="351">
        <v>0</v>
      </c>
      <c r="AF221" s="351">
        <v>0</v>
      </c>
      <c r="AG221" s="351">
        <v>0</v>
      </c>
      <c r="AH221" s="351">
        <v>0</v>
      </c>
      <c r="AI221" s="351">
        <v>0</v>
      </c>
      <c r="AJ221" s="351">
        <v>30826.82</v>
      </c>
      <c r="AK221" s="351">
        <v>15648.13</v>
      </c>
      <c r="AL221" s="351">
        <v>0</v>
      </c>
      <c r="AM221" s="223"/>
      <c r="AN221" s="223"/>
    </row>
    <row r="222" spans="1:40" s="19" customFormat="1" ht="9" hidden="1" customHeight="1">
      <c r="A222" s="44">
        <v>193</v>
      </c>
      <c r="B222" s="346" t="s">
        <v>817</v>
      </c>
      <c r="C222" s="348">
        <v>904.2</v>
      </c>
      <c r="D222" s="343">
        <v>77.599999999999994</v>
      </c>
      <c r="E222" s="348"/>
      <c r="F222" s="348"/>
      <c r="G222" s="117">
        <f>ROUND(H222+U222+X222+Z222+AB222+AD222+AF222+AH222+AI222+AJ222+AK222+AL222,2)</f>
        <v>1775770.25</v>
      </c>
      <c r="H222" s="348">
        <f t="shared" si="92"/>
        <v>1132048.27</v>
      </c>
      <c r="I222" s="117">
        <v>136119</v>
      </c>
      <c r="J222" s="177">
        <v>550</v>
      </c>
      <c r="K222" s="117">
        <v>614464</v>
      </c>
      <c r="L222" s="117">
        <v>171</v>
      </c>
      <c r="M222" s="117">
        <v>136027</v>
      </c>
      <c r="N222" s="348">
        <v>156</v>
      </c>
      <c r="O222" s="348">
        <v>119470.7</v>
      </c>
      <c r="P222" s="348">
        <v>0</v>
      </c>
      <c r="Q222" s="348">
        <v>0</v>
      </c>
      <c r="R222" s="348">
        <v>170</v>
      </c>
      <c r="S222" s="348">
        <v>125967.57</v>
      </c>
      <c r="T222" s="44">
        <v>0</v>
      </c>
      <c r="U222" s="348">
        <v>0</v>
      </c>
      <c r="V222" s="348"/>
      <c r="W222" s="348">
        <v>0</v>
      </c>
      <c r="X222" s="348">
        <v>0</v>
      </c>
      <c r="Y222" s="351">
        <v>512</v>
      </c>
      <c r="Z222" s="351">
        <v>526064</v>
      </c>
      <c r="AA222" s="351">
        <v>0</v>
      </c>
      <c r="AB222" s="351">
        <v>0</v>
      </c>
      <c r="AC222" s="351">
        <v>0</v>
      </c>
      <c r="AD222" s="351">
        <v>0</v>
      </c>
      <c r="AE222" s="351">
        <v>0</v>
      </c>
      <c r="AF222" s="351">
        <v>0</v>
      </c>
      <c r="AG222" s="351">
        <v>0</v>
      </c>
      <c r="AH222" s="351">
        <v>0</v>
      </c>
      <c r="AI222" s="348">
        <f>18767.73</f>
        <v>18767.73</v>
      </c>
      <c r="AJ222" s="351">
        <v>61431.82</v>
      </c>
      <c r="AK222" s="351">
        <v>37458.43</v>
      </c>
      <c r="AL222" s="351">
        <v>0</v>
      </c>
      <c r="AM222" s="223"/>
      <c r="AN222" s="223"/>
    </row>
    <row r="223" spans="1:40" s="19" customFormat="1" ht="9" hidden="1" customHeight="1">
      <c r="A223" s="44">
        <v>194</v>
      </c>
      <c r="B223" s="346" t="s">
        <v>818</v>
      </c>
      <c r="C223" s="348">
        <v>375.9</v>
      </c>
      <c r="D223" s="343">
        <v>74.3</v>
      </c>
      <c r="E223" s="348"/>
      <c r="F223" s="348"/>
      <c r="G223" s="117">
        <f>ROUND(H223+U223+X223+Z223+AB223+AD223+AF223+AH223+AI223+AJ223+AK223+AL223,2)</f>
        <v>729458.31</v>
      </c>
      <c r="H223" s="348">
        <f t="shared" si="92"/>
        <v>670302.63</v>
      </c>
      <c r="I223" s="117">
        <v>68156</v>
      </c>
      <c r="J223" s="177">
        <v>415</v>
      </c>
      <c r="K223" s="117">
        <v>470506</v>
      </c>
      <c r="L223" s="117">
        <v>77</v>
      </c>
      <c r="M223" s="117">
        <v>60930</v>
      </c>
      <c r="N223" s="348">
        <v>42</v>
      </c>
      <c r="O223" s="348">
        <v>31416.37</v>
      </c>
      <c r="P223" s="348">
        <v>0</v>
      </c>
      <c r="Q223" s="348">
        <v>0</v>
      </c>
      <c r="R223" s="348">
        <v>55</v>
      </c>
      <c r="S223" s="348">
        <v>39294.26</v>
      </c>
      <c r="T223" s="44">
        <v>0</v>
      </c>
      <c r="U223" s="348">
        <v>0</v>
      </c>
      <c r="V223" s="348"/>
      <c r="W223" s="348">
        <v>0</v>
      </c>
      <c r="X223" s="348">
        <v>0</v>
      </c>
      <c r="Y223" s="351">
        <v>0</v>
      </c>
      <c r="Z223" s="351">
        <v>0</v>
      </c>
      <c r="AA223" s="351">
        <v>0</v>
      </c>
      <c r="AB223" s="351">
        <v>0</v>
      </c>
      <c r="AC223" s="351">
        <v>0</v>
      </c>
      <c r="AD223" s="351">
        <v>0</v>
      </c>
      <c r="AE223" s="351">
        <v>0</v>
      </c>
      <c r="AF223" s="351">
        <v>0</v>
      </c>
      <c r="AG223" s="351">
        <v>0</v>
      </c>
      <c r="AH223" s="351">
        <v>0</v>
      </c>
      <c r="AI223" s="348">
        <v>18044.37</v>
      </c>
      <c r="AJ223" s="351">
        <v>25538.84</v>
      </c>
      <c r="AK223" s="351">
        <v>15572.47</v>
      </c>
      <c r="AL223" s="351">
        <v>0</v>
      </c>
      <c r="AM223" s="223"/>
      <c r="AN223" s="223"/>
    </row>
    <row r="224" spans="1:40" s="19" customFormat="1" ht="9" hidden="1" customHeight="1">
      <c r="A224" s="44">
        <v>195</v>
      </c>
      <c r="B224" s="346" t="s">
        <v>819</v>
      </c>
      <c r="C224" s="348">
        <v>884</v>
      </c>
      <c r="D224" s="343"/>
      <c r="E224" s="348"/>
      <c r="F224" s="348"/>
      <c r="G224" s="117">
        <f t="shared" ref="G224" si="94">ROUND(H224+U224+X224+Z224+AB224+AD224+AF224+AH224+AI224+AJ224+AK224+AL224,2)</f>
        <v>3584447.46</v>
      </c>
      <c r="H224" s="348">
        <f t="shared" si="92"/>
        <v>0</v>
      </c>
      <c r="I224" s="129">
        <v>0</v>
      </c>
      <c r="J224" s="129">
        <v>0</v>
      </c>
      <c r="K224" s="129">
        <v>0</v>
      </c>
      <c r="L224" s="129">
        <v>0</v>
      </c>
      <c r="M224" s="129">
        <v>0</v>
      </c>
      <c r="N224" s="348">
        <v>0</v>
      </c>
      <c r="O224" s="348">
        <v>0</v>
      </c>
      <c r="P224" s="348">
        <v>0</v>
      </c>
      <c r="Q224" s="348">
        <v>0</v>
      </c>
      <c r="R224" s="348">
        <v>0</v>
      </c>
      <c r="S224" s="348">
        <v>0</v>
      </c>
      <c r="T224" s="44">
        <v>0</v>
      </c>
      <c r="U224" s="348">
        <v>0</v>
      </c>
      <c r="V224" s="348" t="s">
        <v>998</v>
      </c>
      <c r="W224" s="348">
        <v>821</v>
      </c>
      <c r="X224" s="348">
        <v>3485196</v>
      </c>
      <c r="Y224" s="351">
        <v>0</v>
      </c>
      <c r="Z224" s="351">
        <v>0</v>
      </c>
      <c r="AA224" s="351">
        <v>0</v>
      </c>
      <c r="AB224" s="351">
        <v>0</v>
      </c>
      <c r="AC224" s="351">
        <v>0</v>
      </c>
      <c r="AD224" s="351">
        <v>0</v>
      </c>
      <c r="AE224" s="351">
        <v>0</v>
      </c>
      <c r="AF224" s="351">
        <v>0</v>
      </c>
      <c r="AG224" s="351">
        <v>0</v>
      </c>
      <c r="AH224" s="351">
        <v>0</v>
      </c>
      <c r="AI224" s="351">
        <v>0</v>
      </c>
      <c r="AJ224" s="351">
        <v>61656.21</v>
      </c>
      <c r="AK224" s="351">
        <v>37595.25</v>
      </c>
      <c r="AL224" s="351">
        <v>0</v>
      </c>
      <c r="AM224" s="223"/>
      <c r="AN224" s="223"/>
    </row>
    <row r="225" spans="1:40" s="19" customFormat="1" ht="9" hidden="1" customHeight="1">
      <c r="A225" s="44">
        <v>196</v>
      </c>
      <c r="B225" s="346" t="s">
        <v>820</v>
      </c>
      <c r="C225" s="348">
        <v>392.1</v>
      </c>
      <c r="D225" s="343">
        <v>40.799999999999997</v>
      </c>
      <c r="E225" s="348"/>
      <c r="F225" s="348"/>
      <c r="G225" s="117">
        <f>ROUND(H225+U225+X225+Z225+AB225+AD225+AF225+AH225+AI225+AJ225+AK225+AL225,2)</f>
        <v>631423.69999999995</v>
      </c>
      <c r="H225" s="348">
        <f t="shared" si="92"/>
        <v>590650</v>
      </c>
      <c r="I225" s="117">
        <v>66034</v>
      </c>
      <c r="J225" s="177">
        <v>345</v>
      </c>
      <c r="K225" s="117">
        <v>342818</v>
      </c>
      <c r="L225" s="117">
        <v>82</v>
      </c>
      <c r="M225" s="117">
        <v>58969</v>
      </c>
      <c r="N225" s="348">
        <v>53</v>
      </c>
      <c r="O225" s="348">
        <v>40351.89</v>
      </c>
      <c r="P225" s="348">
        <v>0</v>
      </c>
      <c r="Q225" s="348">
        <v>0</v>
      </c>
      <c r="R225" s="348">
        <v>87</v>
      </c>
      <c r="S225" s="348">
        <v>82477.11</v>
      </c>
      <c r="T225" s="44">
        <v>0</v>
      </c>
      <c r="U225" s="348">
        <v>0</v>
      </c>
      <c r="V225" s="348"/>
      <c r="W225" s="348">
        <v>0</v>
      </c>
      <c r="X225" s="348">
        <v>0</v>
      </c>
      <c r="Y225" s="351">
        <v>0</v>
      </c>
      <c r="Z225" s="351">
        <v>0</v>
      </c>
      <c r="AA225" s="351">
        <v>0</v>
      </c>
      <c r="AB225" s="351">
        <v>0</v>
      </c>
      <c r="AC225" s="351">
        <v>0</v>
      </c>
      <c r="AD225" s="351">
        <v>0</v>
      </c>
      <c r="AE225" s="351">
        <v>0</v>
      </c>
      <c r="AF225" s="351">
        <v>0</v>
      </c>
      <c r="AG225" s="351">
        <v>0</v>
      </c>
      <c r="AH225" s="351">
        <v>0</v>
      </c>
      <c r="AI225" s="348">
        <v>0</v>
      </c>
      <c r="AJ225" s="351">
        <v>25329.119999999999</v>
      </c>
      <c r="AK225" s="351">
        <v>15444.58</v>
      </c>
      <c r="AL225" s="351">
        <v>0</v>
      </c>
      <c r="AM225" s="223"/>
      <c r="AN225" s="223"/>
    </row>
    <row r="226" spans="1:40" s="19" customFormat="1" ht="9" hidden="1" customHeight="1">
      <c r="A226" s="44">
        <v>197</v>
      </c>
      <c r="B226" s="346" t="s">
        <v>821</v>
      </c>
      <c r="C226" s="348">
        <v>605.70000000000005</v>
      </c>
      <c r="D226" s="343"/>
      <c r="E226" s="348"/>
      <c r="F226" s="348"/>
      <c r="G226" s="117">
        <f>ROUND(H226+U226+X226+Z226+AB226+AD226+AF226+AH226+AI226+AJ226+AK226+AL226,2)</f>
        <v>1456893.92</v>
      </c>
      <c r="H226" s="348">
        <f t="shared" si="92"/>
        <v>0</v>
      </c>
      <c r="I226" s="129">
        <v>0</v>
      </c>
      <c r="J226" s="129">
        <v>0</v>
      </c>
      <c r="K226" s="129">
        <v>0</v>
      </c>
      <c r="L226" s="129">
        <v>0</v>
      </c>
      <c r="M226" s="129">
        <v>0</v>
      </c>
      <c r="N226" s="348">
        <v>0</v>
      </c>
      <c r="O226" s="348">
        <v>0</v>
      </c>
      <c r="P226" s="348">
        <v>0</v>
      </c>
      <c r="Q226" s="348">
        <v>0</v>
      </c>
      <c r="R226" s="348">
        <v>0</v>
      </c>
      <c r="S226" s="348">
        <v>0</v>
      </c>
      <c r="T226" s="44">
        <v>0</v>
      </c>
      <c r="U226" s="348">
        <v>0</v>
      </c>
      <c r="V226" s="348" t="s">
        <v>997</v>
      </c>
      <c r="W226" s="348">
        <v>420</v>
      </c>
      <c r="X226" s="348">
        <v>1392297</v>
      </c>
      <c r="Y226" s="351">
        <v>0</v>
      </c>
      <c r="Z226" s="351">
        <v>0</v>
      </c>
      <c r="AA226" s="351">
        <v>0</v>
      </c>
      <c r="AB226" s="351">
        <v>0</v>
      </c>
      <c r="AC226" s="351">
        <v>0</v>
      </c>
      <c r="AD226" s="351">
        <v>0</v>
      </c>
      <c r="AE226" s="351">
        <v>0</v>
      </c>
      <c r="AF226" s="351">
        <v>0</v>
      </c>
      <c r="AG226" s="351">
        <v>0</v>
      </c>
      <c r="AH226" s="351">
        <v>0</v>
      </c>
      <c r="AI226" s="351">
        <v>0</v>
      </c>
      <c r="AJ226" s="351">
        <v>42992.6</v>
      </c>
      <c r="AK226" s="351">
        <v>21604.32</v>
      </c>
      <c r="AL226" s="351">
        <v>0</v>
      </c>
      <c r="AM226" s="223"/>
      <c r="AN226" s="223"/>
    </row>
    <row r="227" spans="1:40" s="19" customFormat="1" ht="22.5" hidden="1" customHeight="1">
      <c r="A227" s="599" t="s">
        <v>268</v>
      </c>
      <c r="B227" s="599"/>
      <c r="C227" s="348">
        <f>SUM(C212:C226)</f>
        <v>13987.020000000002</v>
      </c>
      <c r="D227" s="248"/>
      <c r="E227" s="225"/>
      <c r="F227" s="225"/>
      <c r="G227" s="348">
        <f>ROUND(SUM(G212:G226),2)</f>
        <v>25733547.300000001</v>
      </c>
      <c r="H227" s="348">
        <f t="shared" ref="H227:AL227" si="95">SUM(H212:H226)</f>
        <v>2393000.9</v>
      </c>
      <c r="I227" s="348">
        <f t="shared" si="95"/>
        <v>270309</v>
      </c>
      <c r="J227" s="348">
        <f t="shared" si="95"/>
        <v>1310</v>
      </c>
      <c r="K227" s="348">
        <f t="shared" si="95"/>
        <v>1427788</v>
      </c>
      <c r="L227" s="348">
        <f t="shared" si="95"/>
        <v>330</v>
      </c>
      <c r="M227" s="348">
        <f t="shared" si="95"/>
        <v>255926</v>
      </c>
      <c r="N227" s="348">
        <f t="shared" si="95"/>
        <v>251</v>
      </c>
      <c r="O227" s="348">
        <f t="shared" si="95"/>
        <v>191238.96000000002</v>
      </c>
      <c r="P227" s="348">
        <f t="shared" si="95"/>
        <v>0</v>
      </c>
      <c r="Q227" s="348">
        <f t="shared" si="95"/>
        <v>0</v>
      </c>
      <c r="R227" s="348">
        <f t="shared" si="95"/>
        <v>312</v>
      </c>
      <c r="S227" s="348">
        <f t="shared" si="95"/>
        <v>247738.94</v>
      </c>
      <c r="T227" s="44">
        <f t="shared" si="95"/>
        <v>0</v>
      </c>
      <c r="U227" s="348">
        <f t="shared" si="95"/>
        <v>0</v>
      </c>
      <c r="V227" s="225" t="s">
        <v>387</v>
      </c>
      <c r="W227" s="348">
        <f t="shared" si="95"/>
        <v>6263.7</v>
      </c>
      <c r="X227" s="348">
        <f t="shared" si="95"/>
        <v>21674810</v>
      </c>
      <c r="Y227" s="348">
        <f t="shared" si="95"/>
        <v>512</v>
      </c>
      <c r="Z227" s="348">
        <f t="shared" si="95"/>
        <v>526064</v>
      </c>
      <c r="AA227" s="348">
        <f t="shared" si="95"/>
        <v>0</v>
      </c>
      <c r="AB227" s="348">
        <f t="shared" si="95"/>
        <v>0</v>
      </c>
      <c r="AC227" s="348">
        <f t="shared" si="95"/>
        <v>0</v>
      </c>
      <c r="AD227" s="348">
        <f t="shared" si="95"/>
        <v>0</v>
      </c>
      <c r="AE227" s="348">
        <f t="shared" si="95"/>
        <v>0</v>
      </c>
      <c r="AF227" s="348">
        <f t="shared" si="95"/>
        <v>0</v>
      </c>
      <c r="AG227" s="348">
        <f t="shared" si="95"/>
        <v>0</v>
      </c>
      <c r="AH227" s="348">
        <f t="shared" si="95"/>
        <v>0</v>
      </c>
      <c r="AI227" s="348">
        <f t="shared" si="95"/>
        <v>36812.1</v>
      </c>
      <c r="AJ227" s="348">
        <f t="shared" si="95"/>
        <v>682961.60999999987</v>
      </c>
      <c r="AK227" s="348">
        <f t="shared" si="95"/>
        <v>419898.69</v>
      </c>
      <c r="AL227" s="348">
        <f t="shared" si="95"/>
        <v>0</v>
      </c>
      <c r="AM227" s="223"/>
      <c r="AN227" s="223"/>
    </row>
    <row r="228" spans="1:40" s="19" customFormat="1" ht="9" hidden="1" customHeight="1">
      <c r="A228" s="514" t="s">
        <v>441</v>
      </c>
      <c r="B228" s="515"/>
      <c r="C228" s="515"/>
      <c r="D228" s="515"/>
      <c r="E228" s="515"/>
      <c r="F228" s="515"/>
      <c r="G228" s="515"/>
      <c r="H228" s="515"/>
      <c r="I228" s="515"/>
      <c r="J228" s="515"/>
      <c r="K228" s="515"/>
      <c r="L228" s="515"/>
      <c r="M228" s="515"/>
      <c r="N228" s="515"/>
      <c r="O228" s="515"/>
      <c r="P228" s="515"/>
      <c r="Q228" s="515"/>
      <c r="R228" s="515"/>
      <c r="S228" s="515"/>
      <c r="T228" s="515"/>
      <c r="U228" s="515"/>
      <c r="V228" s="515"/>
      <c r="W228" s="515"/>
      <c r="X228" s="515"/>
      <c r="Y228" s="515"/>
      <c r="Z228" s="515"/>
      <c r="AA228" s="515"/>
      <c r="AB228" s="515"/>
      <c r="AC228" s="515"/>
      <c r="AD228" s="515"/>
      <c r="AE228" s="515"/>
      <c r="AF228" s="515"/>
      <c r="AG228" s="515"/>
      <c r="AH228" s="515"/>
      <c r="AI228" s="515"/>
      <c r="AJ228" s="515"/>
      <c r="AK228" s="515"/>
      <c r="AL228" s="515"/>
      <c r="AM228" s="515"/>
      <c r="AN228" s="516"/>
    </row>
    <row r="229" spans="1:40" s="19" customFormat="1" ht="9" hidden="1" customHeight="1">
      <c r="A229" s="78">
        <v>198</v>
      </c>
      <c r="B229" s="346" t="s">
        <v>838</v>
      </c>
      <c r="C229" s="348">
        <v>291.39999999999998</v>
      </c>
      <c r="D229" s="343">
        <v>15.3</v>
      </c>
      <c r="E229" s="348"/>
      <c r="F229" s="348"/>
      <c r="G229" s="117">
        <f t="shared" ref="G229:G230" si="96">ROUND(H229+U229+X229+Z229+AB229+AD229+AF229+AH229+AI229+AJ229+AK229+AL229,2)</f>
        <v>33616.639999999999</v>
      </c>
      <c r="H229" s="348">
        <f t="shared" ref="H229:H230" si="97">I229+K229+M229+O229+Q229+S229</f>
        <v>28781</v>
      </c>
      <c r="I229" s="117">
        <v>28781</v>
      </c>
      <c r="J229" s="129">
        <v>0</v>
      </c>
      <c r="K229" s="129">
        <v>0</v>
      </c>
      <c r="L229" s="129">
        <v>0</v>
      </c>
      <c r="M229" s="129">
        <v>0</v>
      </c>
      <c r="N229" s="348">
        <v>0</v>
      </c>
      <c r="O229" s="348">
        <v>0</v>
      </c>
      <c r="P229" s="348">
        <v>0</v>
      </c>
      <c r="Q229" s="348">
        <v>0</v>
      </c>
      <c r="R229" s="348">
        <v>0</v>
      </c>
      <c r="S229" s="348">
        <v>0</v>
      </c>
      <c r="T229" s="44">
        <v>0</v>
      </c>
      <c r="U229" s="348">
        <v>0</v>
      </c>
      <c r="V229" s="348"/>
      <c r="W229" s="348">
        <v>0</v>
      </c>
      <c r="X229" s="348">
        <v>0</v>
      </c>
      <c r="Y229" s="351">
        <v>0</v>
      </c>
      <c r="Z229" s="351">
        <v>0</v>
      </c>
      <c r="AA229" s="351">
        <v>0</v>
      </c>
      <c r="AB229" s="351">
        <v>0</v>
      </c>
      <c r="AC229" s="351">
        <v>0</v>
      </c>
      <c r="AD229" s="351">
        <v>0</v>
      </c>
      <c r="AE229" s="351">
        <v>0</v>
      </c>
      <c r="AF229" s="351">
        <v>0</v>
      </c>
      <c r="AG229" s="351">
        <v>0</v>
      </c>
      <c r="AH229" s="351">
        <v>0</v>
      </c>
      <c r="AI229" s="351">
        <v>0</v>
      </c>
      <c r="AJ229" s="351">
        <v>3218.37</v>
      </c>
      <c r="AK229" s="351">
        <v>1617.27</v>
      </c>
      <c r="AL229" s="351">
        <v>0</v>
      </c>
      <c r="AM229" s="351"/>
      <c r="AN229" s="351"/>
    </row>
    <row r="230" spans="1:40" s="19" customFormat="1" ht="9" hidden="1" customHeight="1">
      <c r="A230" s="78">
        <v>199</v>
      </c>
      <c r="B230" s="346" t="s">
        <v>839</v>
      </c>
      <c r="C230" s="348">
        <v>803.5</v>
      </c>
      <c r="D230" s="343"/>
      <c r="E230" s="348"/>
      <c r="F230" s="348"/>
      <c r="G230" s="117">
        <f t="shared" si="96"/>
        <v>2062808.56</v>
      </c>
      <c r="H230" s="348">
        <f t="shared" si="97"/>
        <v>0</v>
      </c>
      <c r="I230" s="129">
        <v>0</v>
      </c>
      <c r="J230" s="129">
        <v>0</v>
      </c>
      <c r="K230" s="129">
        <v>0</v>
      </c>
      <c r="L230" s="129">
        <v>0</v>
      </c>
      <c r="M230" s="129">
        <v>0</v>
      </c>
      <c r="N230" s="348">
        <v>0</v>
      </c>
      <c r="O230" s="348">
        <v>0</v>
      </c>
      <c r="P230" s="348">
        <v>0</v>
      </c>
      <c r="Q230" s="348">
        <v>0</v>
      </c>
      <c r="R230" s="348">
        <v>0</v>
      </c>
      <c r="S230" s="348">
        <v>0</v>
      </c>
      <c r="T230" s="44">
        <v>0</v>
      </c>
      <c r="U230" s="348">
        <v>0</v>
      </c>
      <c r="V230" s="348" t="s">
        <v>997</v>
      </c>
      <c r="W230" s="24">
        <v>602</v>
      </c>
      <c r="X230" s="348">
        <v>2000006</v>
      </c>
      <c r="Y230" s="351">
        <v>0</v>
      </c>
      <c r="Z230" s="351">
        <v>0</v>
      </c>
      <c r="AA230" s="351">
        <v>0</v>
      </c>
      <c r="AB230" s="351">
        <v>0</v>
      </c>
      <c r="AC230" s="351">
        <v>0</v>
      </c>
      <c r="AD230" s="351">
        <v>0</v>
      </c>
      <c r="AE230" s="351">
        <v>0</v>
      </c>
      <c r="AF230" s="351">
        <v>0</v>
      </c>
      <c r="AG230" s="351">
        <v>0</v>
      </c>
      <c r="AH230" s="351">
        <v>0</v>
      </c>
      <c r="AI230" s="351">
        <v>0</v>
      </c>
      <c r="AJ230" s="351">
        <v>41798.36</v>
      </c>
      <c r="AK230" s="351">
        <v>21004.2</v>
      </c>
      <c r="AL230" s="351">
        <v>0</v>
      </c>
      <c r="AM230" s="351"/>
      <c r="AN230" s="351"/>
    </row>
    <row r="231" spans="1:40" s="19" customFormat="1" ht="39.75" hidden="1" customHeight="1">
      <c r="A231" s="606" t="s">
        <v>442</v>
      </c>
      <c r="B231" s="606"/>
      <c r="C231" s="79">
        <f>SUM(C229:C230)</f>
        <v>1094.9000000000001</v>
      </c>
      <c r="D231" s="79"/>
      <c r="E231" s="79"/>
      <c r="F231" s="79"/>
      <c r="G231" s="79">
        <f>ROUND(SUM(G229:G230),2)</f>
        <v>2096425.2</v>
      </c>
      <c r="H231" s="79">
        <f t="shared" ref="H231:AL231" si="98">SUM(H229:H230)</f>
        <v>28781</v>
      </c>
      <c r="I231" s="79">
        <f t="shared" si="98"/>
        <v>28781</v>
      </c>
      <c r="J231" s="79">
        <f t="shared" si="98"/>
        <v>0</v>
      </c>
      <c r="K231" s="79">
        <f t="shared" si="98"/>
        <v>0</v>
      </c>
      <c r="L231" s="79">
        <f t="shared" si="98"/>
        <v>0</v>
      </c>
      <c r="M231" s="79">
        <f t="shared" si="98"/>
        <v>0</v>
      </c>
      <c r="N231" s="79">
        <f t="shared" si="98"/>
        <v>0</v>
      </c>
      <c r="O231" s="79">
        <f t="shared" si="98"/>
        <v>0</v>
      </c>
      <c r="P231" s="79">
        <f t="shared" si="98"/>
        <v>0</v>
      </c>
      <c r="Q231" s="79">
        <f t="shared" si="98"/>
        <v>0</v>
      </c>
      <c r="R231" s="79">
        <f t="shared" si="98"/>
        <v>0</v>
      </c>
      <c r="S231" s="79">
        <f t="shared" si="98"/>
        <v>0</v>
      </c>
      <c r="T231" s="102">
        <f t="shared" si="98"/>
        <v>0</v>
      </c>
      <c r="U231" s="79">
        <f t="shared" si="98"/>
        <v>0</v>
      </c>
      <c r="V231" s="79" t="s">
        <v>387</v>
      </c>
      <c r="W231" s="79">
        <f t="shared" si="98"/>
        <v>602</v>
      </c>
      <c r="X231" s="79">
        <f t="shared" si="98"/>
        <v>2000006</v>
      </c>
      <c r="Y231" s="79">
        <f t="shared" si="98"/>
        <v>0</v>
      </c>
      <c r="Z231" s="79">
        <f t="shared" si="98"/>
        <v>0</v>
      </c>
      <c r="AA231" s="79">
        <f t="shared" si="98"/>
        <v>0</v>
      </c>
      <c r="AB231" s="79">
        <f t="shared" si="98"/>
        <v>0</v>
      </c>
      <c r="AC231" s="79">
        <f t="shared" si="98"/>
        <v>0</v>
      </c>
      <c r="AD231" s="79">
        <f t="shared" si="98"/>
        <v>0</v>
      </c>
      <c r="AE231" s="79">
        <f t="shared" si="98"/>
        <v>0</v>
      </c>
      <c r="AF231" s="79">
        <f t="shared" si="98"/>
        <v>0</v>
      </c>
      <c r="AG231" s="79">
        <f t="shared" si="98"/>
        <v>0</v>
      </c>
      <c r="AH231" s="79">
        <f t="shared" si="98"/>
        <v>0</v>
      </c>
      <c r="AI231" s="79">
        <f t="shared" si="98"/>
        <v>0</v>
      </c>
      <c r="AJ231" s="79">
        <f t="shared" si="98"/>
        <v>45016.73</v>
      </c>
      <c r="AK231" s="79">
        <f t="shared" si="98"/>
        <v>22621.47</v>
      </c>
      <c r="AL231" s="79">
        <f t="shared" si="98"/>
        <v>0</v>
      </c>
      <c r="AM231" s="351"/>
      <c r="AN231" s="351"/>
    </row>
    <row r="232" spans="1:40" s="19" customFormat="1" ht="14.25" hidden="1" customHeight="1">
      <c r="A232" s="514" t="s">
        <v>393</v>
      </c>
      <c r="B232" s="515"/>
      <c r="C232" s="515"/>
      <c r="D232" s="515"/>
      <c r="E232" s="515"/>
      <c r="F232" s="515"/>
      <c r="G232" s="515"/>
      <c r="H232" s="515"/>
      <c r="I232" s="515"/>
      <c r="J232" s="515"/>
      <c r="K232" s="515"/>
      <c r="L232" s="515"/>
      <c r="M232" s="515"/>
      <c r="N232" s="515"/>
      <c r="O232" s="515"/>
      <c r="P232" s="515"/>
      <c r="Q232" s="515"/>
      <c r="R232" s="515"/>
      <c r="S232" s="515"/>
      <c r="T232" s="515"/>
      <c r="U232" s="515"/>
      <c r="V232" s="515"/>
      <c r="W232" s="515"/>
      <c r="X232" s="515"/>
      <c r="Y232" s="515"/>
      <c r="Z232" s="515"/>
      <c r="AA232" s="515"/>
      <c r="AB232" s="515"/>
      <c r="AC232" s="515"/>
      <c r="AD232" s="515"/>
      <c r="AE232" s="515"/>
      <c r="AF232" s="515"/>
      <c r="AG232" s="515"/>
      <c r="AH232" s="515"/>
      <c r="AI232" s="515"/>
      <c r="AJ232" s="515"/>
      <c r="AK232" s="515"/>
      <c r="AL232" s="516"/>
      <c r="AM232" s="352"/>
      <c r="AN232" s="352"/>
    </row>
    <row r="233" spans="1:40" s="19" customFormat="1" ht="9" hidden="1" customHeight="1">
      <c r="A233" s="78">
        <v>200</v>
      </c>
      <c r="B233" s="346" t="s">
        <v>837</v>
      </c>
      <c r="C233" s="348">
        <v>752.2</v>
      </c>
      <c r="D233" s="343"/>
      <c r="E233" s="348"/>
      <c r="F233" s="348"/>
      <c r="G233" s="117">
        <f t="shared" ref="G233:G234" si="99">ROUND(H233+U233+X233+Z233+AB233+AD233+AF233+AH233+AI233+AJ233+AK233+AL233,2)</f>
        <v>2466503.86</v>
      </c>
      <c r="H233" s="348">
        <f t="shared" ref="H233:H234" si="100">I233+K233+M233+O233+Q233+S233</f>
        <v>0</v>
      </c>
      <c r="I233" s="129">
        <v>0</v>
      </c>
      <c r="J233" s="129">
        <v>0</v>
      </c>
      <c r="K233" s="129">
        <v>0</v>
      </c>
      <c r="L233" s="129">
        <v>0</v>
      </c>
      <c r="M233" s="129">
        <v>0</v>
      </c>
      <c r="N233" s="348">
        <v>0</v>
      </c>
      <c r="O233" s="348">
        <v>0</v>
      </c>
      <c r="P233" s="348">
        <v>0</v>
      </c>
      <c r="Q233" s="348">
        <v>0</v>
      </c>
      <c r="R233" s="348">
        <v>0</v>
      </c>
      <c r="S233" s="348">
        <v>0</v>
      </c>
      <c r="T233" s="44">
        <v>0</v>
      </c>
      <c r="U233" s="348">
        <v>0</v>
      </c>
      <c r="V233" s="348" t="s">
        <v>998</v>
      </c>
      <c r="W233" s="15">
        <v>596</v>
      </c>
      <c r="X233" s="348">
        <v>2405585</v>
      </c>
      <c r="Y233" s="351">
        <v>0</v>
      </c>
      <c r="Z233" s="351">
        <v>0</v>
      </c>
      <c r="AA233" s="351">
        <v>0</v>
      </c>
      <c r="AB233" s="351">
        <v>0</v>
      </c>
      <c r="AC233" s="351">
        <v>0</v>
      </c>
      <c r="AD233" s="351">
        <v>0</v>
      </c>
      <c r="AE233" s="351">
        <v>0</v>
      </c>
      <c r="AF233" s="351">
        <v>0</v>
      </c>
      <c r="AG233" s="351">
        <v>0</v>
      </c>
      <c r="AH233" s="351">
        <v>0</v>
      </c>
      <c r="AI233" s="351">
        <v>0</v>
      </c>
      <c r="AJ233" s="351">
        <v>40544.660000000003</v>
      </c>
      <c r="AK233" s="351">
        <v>20374.2</v>
      </c>
      <c r="AL233" s="351">
        <v>0</v>
      </c>
      <c r="AM233" s="352"/>
      <c r="AN233" s="352"/>
    </row>
    <row r="234" spans="1:40" s="19" customFormat="1" ht="9" hidden="1" customHeight="1">
      <c r="A234" s="78">
        <v>201</v>
      </c>
      <c r="B234" s="346" t="s">
        <v>840</v>
      </c>
      <c r="C234" s="348">
        <v>1865</v>
      </c>
      <c r="D234" s="343"/>
      <c r="E234" s="348"/>
      <c r="F234" s="348"/>
      <c r="G234" s="117">
        <f t="shared" si="99"/>
        <v>3441620.84</v>
      </c>
      <c r="H234" s="348">
        <f t="shared" si="100"/>
        <v>0</v>
      </c>
      <c r="I234" s="129">
        <v>0</v>
      </c>
      <c r="J234" s="129">
        <v>0</v>
      </c>
      <c r="K234" s="129">
        <v>0</v>
      </c>
      <c r="L234" s="129">
        <v>0</v>
      </c>
      <c r="M234" s="129">
        <v>0</v>
      </c>
      <c r="N234" s="348">
        <v>0</v>
      </c>
      <c r="O234" s="348">
        <v>0</v>
      </c>
      <c r="P234" s="348">
        <v>0</v>
      </c>
      <c r="Q234" s="348">
        <v>0</v>
      </c>
      <c r="R234" s="348">
        <v>0</v>
      </c>
      <c r="S234" s="348">
        <v>0</v>
      </c>
      <c r="T234" s="44">
        <v>0</v>
      </c>
      <c r="U234" s="348">
        <v>0</v>
      </c>
      <c r="V234" s="348" t="s">
        <v>997</v>
      </c>
      <c r="W234" s="15">
        <v>911</v>
      </c>
      <c r="X234" s="348">
        <v>3347417</v>
      </c>
      <c r="Y234" s="351">
        <v>0</v>
      </c>
      <c r="Z234" s="351">
        <v>0</v>
      </c>
      <c r="AA234" s="351">
        <v>0</v>
      </c>
      <c r="AB234" s="351">
        <v>0</v>
      </c>
      <c r="AC234" s="351">
        <v>0</v>
      </c>
      <c r="AD234" s="351">
        <v>0</v>
      </c>
      <c r="AE234" s="351">
        <v>0</v>
      </c>
      <c r="AF234" s="351">
        <v>0</v>
      </c>
      <c r="AG234" s="351">
        <v>0</v>
      </c>
      <c r="AH234" s="351">
        <v>0</v>
      </c>
      <c r="AI234" s="351">
        <v>0</v>
      </c>
      <c r="AJ234" s="351">
        <v>62697.54</v>
      </c>
      <c r="AK234" s="351">
        <v>31506.3</v>
      </c>
      <c r="AL234" s="351">
        <v>0</v>
      </c>
      <c r="AM234" s="352"/>
      <c r="AN234" s="352"/>
    </row>
    <row r="235" spans="1:40" s="19" customFormat="1" ht="22.5" hidden="1" customHeight="1">
      <c r="A235" s="606" t="s">
        <v>394</v>
      </c>
      <c r="B235" s="606"/>
      <c r="C235" s="79">
        <f>SUM(C233:C234)</f>
        <v>2617.1999999999998</v>
      </c>
      <c r="D235" s="79"/>
      <c r="E235" s="79"/>
      <c r="F235" s="79"/>
      <c r="G235" s="79">
        <f>ROUND(SUM(G233:G234),2)</f>
        <v>5908124.7000000002</v>
      </c>
      <c r="H235" s="79">
        <f t="shared" ref="H235:AL235" si="101">SUM(H233:H234)</f>
        <v>0</v>
      </c>
      <c r="I235" s="79">
        <f t="shared" si="101"/>
        <v>0</v>
      </c>
      <c r="J235" s="79">
        <f t="shared" si="101"/>
        <v>0</v>
      </c>
      <c r="K235" s="79">
        <f t="shared" si="101"/>
        <v>0</v>
      </c>
      <c r="L235" s="79">
        <f t="shared" si="101"/>
        <v>0</v>
      </c>
      <c r="M235" s="79">
        <f t="shared" si="101"/>
        <v>0</v>
      </c>
      <c r="N235" s="79">
        <f t="shared" si="101"/>
        <v>0</v>
      </c>
      <c r="O235" s="79">
        <f t="shared" si="101"/>
        <v>0</v>
      </c>
      <c r="P235" s="79">
        <f t="shared" si="101"/>
        <v>0</v>
      </c>
      <c r="Q235" s="79">
        <f t="shared" si="101"/>
        <v>0</v>
      </c>
      <c r="R235" s="79">
        <f t="shared" si="101"/>
        <v>0</v>
      </c>
      <c r="S235" s="79">
        <f t="shared" si="101"/>
        <v>0</v>
      </c>
      <c r="T235" s="102">
        <f t="shared" si="101"/>
        <v>0</v>
      </c>
      <c r="U235" s="79">
        <f t="shared" si="101"/>
        <v>0</v>
      </c>
      <c r="V235" s="79" t="s">
        <v>387</v>
      </c>
      <c r="W235" s="79">
        <f t="shared" si="101"/>
        <v>1507</v>
      </c>
      <c r="X235" s="79">
        <f t="shared" si="101"/>
        <v>5753002</v>
      </c>
      <c r="Y235" s="79">
        <f t="shared" si="101"/>
        <v>0</v>
      </c>
      <c r="Z235" s="79">
        <f t="shared" si="101"/>
        <v>0</v>
      </c>
      <c r="AA235" s="79">
        <f t="shared" si="101"/>
        <v>0</v>
      </c>
      <c r="AB235" s="79">
        <f t="shared" si="101"/>
        <v>0</v>
      </c>
      <c r="AC235" s="79">
        <f t="shared" si="101"/>
        <v>0</v>
      </c>
      <c r="AD235" s="79">
        <f t="shared" si="101"/>
        <v>0</v>
      </c>
      <c r="AE235" s="79">
        <f t="shared" si="101"/>
        <v>0</v>
      </c>
      <c r="AF235" s="79">
        <f t="shared" si="101"/>
        <v>0</v>
      </c>
      <c r="AG235" s="79">
        <f t="shared" si="101"/>
        <v>0</v>
      </c>
      <c r="AH235" s="79">
        <f t="shared" si="101"/>
        <v>0</v>
      </c>
      <c r="AI235" s="79">
        <f t="shared" si="101"/>
        <v>0</v>
      </c>
      <c r="AJ235" s="79">
        <f t="shared" si="101"/>
        <v>103242.20000000001</v>
      </c>
      <c r="AK235" s="79">
        <f t="shared" si="101"/>
        <v>51880.5</v>
      </c>
      <c r="AL235" s="79">
        <f t="shared" si="101"/>
        <v>0</v>
      </c>
      <c r="AM235" s="352"/>
      <c r="AN235" s="352"/>
    </row>
    <row r="236" spans="1:40" s="19" customFormat="1" ht="12" hidden="1" customHeight="1">
      <c r="A236" s="519" t="s">
        <v>438</v>
      </c>
      <c r="B236" s="520"/>
      <c r="C236" s="520"/>
      <c r="D236" s="520"/>
      <c r="E236" s="520"/>
      <c r="F236" s="520"/>
      <c r="G236" s="520"/>
      <c r="H236" s="520"/>
      <c r="I236" s="520"/>
      <c r="J236" s="520"/>
      <c r="K236" s="520"/>
      <c r="L236" s="520"/>
      <c r="M236" s="520"/>
      <c r="N236" s="520"/>
      <c r="O236" s="520"/>
      <c r="P236" s="520"/>
      <c r="Q236" s="520"/>
      <c r="R236" s="520"/>
      <c r="S236" s="520"/>
      <c r="T236" s="520"/>
      <c r="U236" s="520"/>
      <c r="V236" s="520"/>
      <c r="W236" s="520"/>
      <c r="X236" s="520"/>
      <c r="Y236" s="520"/>
      <c r="Z236" s="520"/>
      <c r="AA236" s="520"/>
      <c r="AB236" s="520"/>
      <c r="AC236" s="520"/>
      <c r="AD236" s="520"/>
      <c r="AE236" s="520"/>
      <c r="AF236" s="520"/>
      <c r="AG236" s="520"/>
      <c r="AH236" s="520"/>
      <c r="AI236" s="520"/>
      <c r="AJ236" s="520"/>
      <c r="AK236" s="520"/>
      <c r="AL236" s="521"/>
      <c r="AM236" s="352"/>
      <c r="AN236" s="352"/>
    </row>
    <row r="237" spans="1:40" s="19" customFormat="1" ht="9" hidden="1" customHeight="1">
      <c r="A237" s="349">
        <v>202</v>
      </c>
      <c r="B237" s="346" t="s">
        <v>844</v>
      </c>
      <c r="C237" s="348">
        <v>1538.2</v>
      </c>
      <c r="D237" s="343">
        <v>710</v>
      </c>
      <c r="E237" s="348"/>
      <c r="F237" s="348"/>
      <c r="G237" s="348">
        <v>2911295.58</v>
      </c>
      <c r="H237" s="348">
        <f t="shared" ref="H237" si="102">I237+K237+M237+O237+Q237+S237</f>
        <v>2306000.2999999998</v>
      </c>
      <c r="I237" s="117">
        <f>ROUND(0.955*(1538*370),2)</f>
        <v>543452.30000000005</v>
      </c>
      <c r="J237" s="129">
        <v>256</v>
      </c>
      <c r="K237" s="117">
        <f>ROUND(0.955*(1538*1200),2)</f>
        <v>1762548</v>
      </c>
      <c r="L237" s="129">
        <v>0</v>
      </c>
      <c r="M237" s="129">
        <v>0</v>
      </c>
      <c r="N237" s="348">
        <v>0</v>
      </c>
      <c r="O237" s="348">
        <v>0</v>
      </c>
      <c r="P237" s="348">
        <v>0</v>
      </c>
      <c r="Q237" s="348">
        <v>0</v>
      </c>
      <c r="R237" s="348">
        <v>0</v>
      </c>
      <c r="S237" s="348">
        <v>0</v>
      </c>
      <c r="T237" s="44">
        <v>0</v>
      </c>
      <c r="U237" s="348">
        <v>0</v>
      </c>
      <c r="V237" s="348"/>
      <c r="W237" s="348">
        <v>0</v>
      </c>
      <c r="X237" s="348">
        <v>0</v>
      </c>
      <c r="Y237" s="351">
        <v>0</v>
      </c>
      <c r="Z237" s="351">
        <v>0</v>
      </c>
      <c r="AA237" s="351">
        <v>0</v>
      </c>
      <c r="AB237" s="351">
        <v>0</v>
      </c>
      <c r="AC237" s="351">
        <v>0</v>
      </c>
      <c r="AD237" s="351">
        <v>0</v>
      </c>
      <c r="AE237" s="351">
        <v>0</v>
      </c>
      <c r="AF237" s="351">
        <v>0</v>
      </c>
      <c r="AG237" s="351">
        <v>0</v>
      </c>
      <c r="AH237" s="351">
        <v>0</v>
      </c>
      <c r="AI237" s="348">
        <f>ROUND(0.955*1538*322.91,2)</f>
        <v>474286.98</v>
      </c>
      <c r="AJ237" s="351">
        <f>ROUND(0.03*(1200+370+322.91)*1538,2)</f>
        <v>87338.87</v>
      </c>
      <c r="AK237" s="351">
        <f>ROUND(0.015*(1200+370+322.91)*1538,2)</f>
        <v>43669.43</v>
      </c>
      <c r="AL237" s="351">
        <v>0</v>
      </c>
      <c r="AM237" s="352"/>
      <c r="AN237" s="352"/>
    </row>
    <row r="238" spans="1:40" s="19" customFormat="1" ht="35.25" hidden="1" customHeight="1">
      <c r="A238" s="599" t="s">
        <v>439</v>
      </c>
      <c r="B238" s="599"/>
      <c r="C238" s="348">
        <f>SUM(C237)</f>
        <v>1538.2</v>
      </c>
      <c r="D238" s="348"/>
      <c r="E238" s="348"/>
      <c r="F238" s="348"/>
      <c r="G238" s="348">
        <f>ROUND(SUM(G237),2)</f>
        <v>2911295.58</v>
      </c>
      <c r="H238" s="348">
        <f t="shared" ref="H238:AL238" si="103">SUM(H237)</f>
        <v>2306000.2999999998</v>
      </c>
      <c r="I238" s="348">
        <f t="shared" si="103"/>
        <v>543452.30000000005</v>
      </c>
      <c r="J238" s="348">
        <f t="shared" si="103"/>
        <v>256</v>
      </c>
      <c r="K238" s="348">
        <f t="shared" si="103"/>
        <v>1762548</v>
      </c>
      <c r="L238" s="348">
        <f t="shared" si="103"/>
        <v>0</v>
      </c>
      <c r="M238" s="348">
        <f t="shared" si="103"/>
        <v>0</v>
      </c>
      <c r="N238" s="348">
        <f t="shared" si="103"/>
        <v>0</v>
      </c>
      <c r="O238" s="348">
        <f t="shared" si="103"/>
        <v>0</v>
      </c>
      <c r="P238" s="348">
        <f t="shared" si="103"/>
        <v>0</v>
      </c>
      <c r="Q238" s="348">
        <f t="shared" si="103"/>
        <v>0</v>
      </c>
      <c r="R238" s="348">
        <f t="shared" si="103"/>
        <v>0</v>
      </c>
      <c r="S238" s="348">
        <f t="shared" si="103"/>
        <v>0</v>
      </c>
      <c r="T238" s="44">
        <f t="shared" si="103"/>
        <v>0</v>
      </c>
      <c r="U238" s="348">
        <f t="shared" si="103"/>
        <v>0</v>
      </c>
      <c r="V238" s="348" t="s">
        <v>387</v>
      </c>
      <c r="W238" s="348">
        <f t="shared" si="103"/>
        <v>0</v>
      </c>
      <c r="X238" s="348">
        <f t="shared" si="103"/>
        <v>0</v>
      </c>
      <c r="Y238" s="348">
        <f t="shared" si="103"/>
        <v>0</v>
      </c>
      <c r="Z238" s="348">
        <f t="shared" si="103"/>
        <v>0</v>
      </c>
      <c r="AA238" s="348">
        <f t="shared" si="103"/>
        <v>0</v>
      </c>
      <c r="AB238" s="348">
        <f t="shared" si="103"/>
        <v>0</v>
      </c>
      <c r="AC238" s="348">
        <f t="shared" si="103"/>
        <v>0</v>
      </c>
      <c r="AD238" s="348">
        <f t="shared" si="103"/>
        <v>0</v>
      </c>
      <c r="AE238" s="348">
        <f t="shared" si="103"/>
        <v>0</v>
      </c>
      <c r="AF238" s="348">
        <f t="shared" si="103"/>
        <v>0</v>
      </c>
      <c r="AG238" s="348">
        <f t="shared" si="103"/>
        <v>0</v>
      </c>
      <c r="AH238" s="348">
        <f t="shared" si="103"/>
        <v>0</v>
      </c>
      <c r="AI238" s="348">
        <f t="shared" si="103"/>
        <v>474286.98</v>
      </c>
      <c r="AJ238" s="348">
        <f t="shared" si="103"/>
        <v>87338.87</v>
      </c>
      <c r="AK238" s="348">
        <f t="shared" si="103"/>
        <v>43669.43</v>
      </c>
      <c r="AL238" s="348">
        <f t="shared" si="103"/>
        <v>0</v>
      </c>
      <c r="AM238" s="352"/>
      <c r="AN238" s="352"/>
    </row>
    <row r="239" spans="1:40" s="19" customFormat="1" ht="11.25" hidden="1" customHeight="1">
      <c r="A239" s="514" t="s">
        <v>431</v>
      </c>
      <c r="B239" s="515"/>
      <c r="C239" s="515"/>
      <c r="D239" s="515"/>
      <c r="E239" s="515"/>
      <c r="F239" s="515"/>
      <c r="G239" s="515"/>
      <c r="H239" s="515"/>
      <c r="I239" s="515"/>
      <c r="J239" s="515"/>
      <c r="K239" s="515"/>
      <c r="L239" s="515"/>
      <c r="M239" s="515"/>
      <c r="N239" s="515"/>
      <c r="O239" s="515"/>
      <c r="P239" s="515"/>
      <c r="Q239" s="515"/>
      <c r="R239" s="515"/>
      <c r="S239" s="515"/>
      <c r="T239" s="515"/>
      <c r="U239" s="515"/>
      <c r="V239" s="515"/>
      <c r="W239" s="515"/>
      <c r="X239" s="515"/>
      <c r="Y239" s="515"/>
      <c r="Z239" s="515"/>
      <c r="AA239" s="515"/>
      <c r="AB239" s="515"/>
      <c r="AC239" s="515"/>
      <c r="AD239" s="515"/>
      <c r="AE239" s="515"/>
      <c r="AF239" s="515"/>
      <c r="AG239" s="515"/>
      <c r="AH239" s="515"/>
      <c r="AI239" s="515"/>
      <c r="AJ239" s="515"/>
      <c r="AK239" s="515"/>
      <c r="AL239" s="516"/>
      <c r="AM239" s="352"/>
      <c r="AN239" s="352"/>
    </row>
    <row r="240" spans="1:40" s="19" customFormat="1" ht="9" hidden="1" customHeight="1">
      <c r="A240" s="78">
        <v>203</v>
      </c>
      <c r="B240" s="346" t="s">
        <v>851</v>
      </c>
      <c r="C240" s="348">
        <v>516.20000000000005</v>
      </c>
      <c r="D240" s="343"/>
      <c r="E240" s="348"/>
      <c r="F240" s="348"/>
      <c r="G240" s="117">
        <f t="shared" ref="G240" si="104">ROUND(H240+U240+X240+Z240+AB240+AD240+AF240+AH240+AI240+AJ240+AK240+AL240,2)</f>
        <v>1777682.4</v>
      </c>
      <c r="H240" s="348">
        <f t="shared" ref="H240" si="105">I240+K240+M240+O240+Q240+S240</f>
        <v>0</v>
      </c>
      <c r="I240" s="129">
        <v>0</v>
      </c>
      <c r="J240" s="129">
        <v>0</v>
      </c>
      <c r="K240" s="129">
        <v>0</v>
      </c>
      <c r="L240" s="129">
        <v>0</v>
      </c>
      <c r="M240" s="129">
        <v>0</v>
      </c>
      <c r="N240" s="348">
        <v>0</v>
      </c>
      <c r="O240" s="348">
        <v>0</v>
      </c>
      <c r="P240" s="348">
        <v>0</v>
      </c>
      <c r="Q240" s="348">
        <v>0</v>
      </c>
      <c r="R240" s="348">
        <v>0</v>
      </c>
      <c r="S240" s="348">
        <v>0</v>
      </c>
      <c r="T240" s="44">
        <v>0</v>
      </c>
      <c r="U240" s="348">
        <v>0</v>
      </c>
      <c r="V240" s="348" t="s">
        <v>998</v>
      </c>
      <c r="W240" s="351">
        <v>460</v>
      </c>
      <c r="X240" s="348">
        <v>1708349</v>
      </c>
      <c r="Y240" s="351">
        <v>0</v>
      </c>
      <c r="Z240" s="351">
        <v>0</v>
      </c>
      <c r="AA240" s="351">
        <v>0</v>
      </c>
      <c r="AB240" s="351">
        <v>0</v>
      </c>
      <c r="AC240" s="351">
        <v>0</v>
      </c>
      <c r="AD240" s="351">
        <v>0</v>
      </c>
      <c r="AE240" s="351">
        <v>0</v>
      </c>
      <c r="AF240" s="351">
        <v>0</v>
      </c>
      <c r="AG240" s="351">
        <v>0</v>
      </c>
      <c r="AH240" s="351">
        <v>0</v>
      </c>
      <c r="AI240" s="351">
        <v>0</v>
      </c>
      <c r="AJ240" s="351">
        <v>41488.660000000003</v>
      </c>
      <c r="AK240" s="351">
        <v>27844.74</v>
      </c>
      <c r="AL240" s="351">
        <v>0</v>
      </c>
      <c r="AM240" s="352"/>
      <c r="AN240" s="352"/>
    </row>
    <row r="241" spans="1:40" s="19" customFormat="1" ht="36" hidden="1" customHeight="1">
      <c r="A241" s="599" t="s">
        <v>432</v>
      </c>
      <c r="B241" s="599"/>
      <c r="C241" s="348">
        <f>SUM(C240)</f>
        <v>516.20000000000005</v>
      </c>
      <c r="D241" s="248"/>
      <c r="E241" s="79"/>
      <c r="F241" s="79"/>
      <c r="G241" s="348">
        <f>ROUND(SUM(G240),2)</f>
        <v>1777682.4</v>
      </c>
      <c r="H241" s="348">
        <f t="shared" ref="H241:AL241" si="106">SUM(H240)</f>
        <v>0</v>
      </c>
      <c r="I241" s="348">
        <f t="shared" si="106"/>
        <v>0</v>
      </c>
      <c r="J241" s="348">
        <f t="shared" si="106"/>
        <v>0</v>
      </c>
      <c r="K241" s="348">
        <f t="shared" si="106"/>
        <v>0</v>
      </c>
      <c r="L241" s="348">
        <f t="shared" si="106"/>
        <v>0</v>
      </c>
      <c r="M241" s="348">
        <f t="shared" si="106"/>
        <v>0</v>
      </c>
      <c r="N241" s="348">
        <f t="shared" si="106"/>
        <v>0</v>
      </c>
      <c r="O241" s="348">
        <f t="shared" si="106"/>
        <v>0</v>
      </c>
      <c r="P241" s="348">
        <f t="shared" si="106"/>
        <v>0</v>
      </c>
      <c r="Q241" s="348">
        <f t="shared" si="106"/>
        <v>0</v>
      </c>
      <c r="R241" s="348">
        <f t="shared" si="106"/>
        <v>0</v>
      </c>
      <c r="S241" s="348">
        <f t="shared" si="106"/>
        <v>0</v>
      </c>
      <c r="T241" s="44">
        <f t="shared" si="106"/>
        <v>0</v>
      </c>
      <c r="U241" s="348">
        <f t="shared" si="106"/>
        <v>0</v>
      </c>
      <c r="V241" s="79" t="s">
        <v>387</v>
      </c>
      <c r="W241" s="348">
        <f t="shared" si="106"/>
        <v>460</v>
      </c>
      <c r="X241" s="348">
        <f t="shared" si="106"/>
        <v>1708349</v>
      </c>
      <c r="Y241" s="348">
        <f t="shared" si="106"/>
        <v>0</v>
      </c>
      <c r="Z241" s="348">
        <f t="shared" si="106"/>
        <v>0</v>
      </c>
      <c r="AA241" s="348">
        <f t="shared" si="106"/>
        <v>0</v>
      </c>
      <c r="AB241" s="348">
        <f t="shared" si="106"/>
        <v>0</v>
      </c>
      <c r="AC241" s="348">
        <f t="shared" si="106"/>
        <v>0</v>
      </c>
      <c r="AD241" s="348">
        <f t="shared" si="106"/>
        <v>0</v>
      </c>
      <c r="AE241" s="348">
        <f t="shared" si="106"/>
        <v>0</v>
      </c>
      <c r="AF241" s="348">
        <f t="shared" si="106"/>
        <v>0</v>
      </c>
      <c r="AG241" s="348">
        <f t="shared" si="106"/>
        <v>0</v>
      </c>
      <c r="AH241" s="348">
        <f t="shared" si="106"/>
        <v>0</v>
      </c>
      <c r="AI241" s="348">
        <f t="shared" si="106"/>
        <v>0</v>
      </c>
      <c r="AJ241" s="348">
        <f t="shared" si="106"/>
        <v>41488.660000000003</v>
      </c>
      <c r="AK241" s="348">
        <f t="shared" si="106"/>
        <v>27844.74</v>
      </c>
      <c r="AL241" s="348">
        <f t="shared" si="106"/>
        <v>0</v>
      </c>
      <c r="AM241" s="352"/>
      <c r="AN241" s="352"/>
    </row>
    <row r="242" spans="1:40" s="19" customFormat="1" ht="12.75" hidden="1" customHeight="1">
      <c r="A242" s="514" t="s">
        <v>855</v>
      </c>
      <c r="B242" s="515"/>
      <c r="C242" s="515"/>
      <c r="D242" s="515"/>
      <c r="E242" s="515"/>
      <c r="F242" s="515"/>
      <c r="G242" s="515"/>
      <c r="H242" s="515"/>
      <c r="I242" s="515"/>
      <c r="J242" s="515"/>
      <c r="K242" s="515"/>
      <c r="L242" s="515"/>
      <c r="M242" s="515"/>
      <c r="N242" s="515"/>
      <c r="O242" s="515"/>
      <c r="P242" s="515"/>
      <c r="Q242" s="515"/>
      <c r="R242" s="515"/>
      <c r="S242" s="515"/>
      <c r="T242" s="515"/>
      <c r="U242" s="515"/>
      <c r="V242" s="515"/>
      <c r="W242" s="515"/>
      <c r="X242" s="515"/>
      <c r="Y242" s="515"/>
      <c r="Z242" s="515"/>
      <c r="AA242" s="515"/>
      <c r="AB242" s="515"/>
      <c r="AC242" s="515"/>
      <c r="AD242" s="515"/>
      <c r="AE242" s="515"/>
      <c r="AF242" s="515"/>
      <c r="AG242" s="515"/>
      <c r="AH242" s="515"/>
      <c r="AI242" s="515"/>
      <c r="AJ242" s="515"/>
      <c r="AK242" s="515"/>
      <c r="AL242" s="516"/>
      <c r="AM242" s="352"/>
      <c r="AN242" s="352"/>
    </row>
    <row r="243" spans="1:40" s="19" customFormat="1" ht="9" hidden="1" customHeight="1">
      <c r="A243" s="78">
        <v>204</v>
      </c>
      <c r="B243" s="346" t="s">
        <v>852</v>
      </c>
      <c r="C243" s="348">
        <v>634.20000000000005</v>
      </c>
      <c r="D243" s="343"/>
      <c r="E243" s="348"/>
      <c r="F243" s="348"/>
      <c r="G243" s="348">
        <f>H243+U243+X243+Z243+AB243+AD243+AF243+AH243+AI243+AJ243+AK243+AL243</f>
        <v>1269115.33</v>
      </c>
      <c r="H243" s="348">
        <f t="shared" ref="H243" si="107">I243+K243+M243+O243+Q243+S243</f>
        <v>0</v>
      </c>
      <c r="I243" s="129">
        <v>0</v>
      </c>
      <c r="J243" s="129">
        <v>0</v>
      </c>
      <c r="K243" s="129">
        <v>0</v>
      </c>
      <c r="L243" s="129">
        <v>0</v>
      </c>
      <c r="M243" s="129">
        <v>0</v>
      </c>
      <c r="N243" s="348">
        <v>0</v>
      </c>
      <c r="O243" s="348">
        <v>0</v>
      </c>
      <c r="P243" s="348">
        <v>0</v>
      </c>
      <c r="Q243" s="348">
        <v>0</v>
      </c>
      <c r="R243" s="348">
        <v>0</v>
      </c>
      <c r="S243" s="348">
        <v>0</v>
      </c>
      <c r="T243" s="44">
        <v>0</v>
      </c>
      <c r="U243" s="348">
        <v>0</v>
      </c>
      <c r="V243" s="348" t="s">
        <v>997</v>
      </c>
      <c r="W243" s="351">
        <v>482</v>
      </c>
      <c r="X243" s="348">
        <v>1209966</v>
      </c>
      <c r="Y243" s="351">
        <v>0</v>
      </c>
      <c r="Z243" s="351">
        <v>0</v>
      </c>
      <c r="AA243" s="351">
        <v>0</v>
      </c>
      <c r="AB243" s="351">
        <v>0</v>
      </c>
      <c r="AC243" s="351">
        <v>0</v>
      </c>
      <c r="AD243" s="351">
        <v>0</v>
      </c>
      <c r="AE243" s="351">
        <v>0</v>
      </c>
      <c r="AF243" s="351">
        <v>0</v>
      </c>
      <c r="AG243" s="351">
        <v>0</v>
      </c>
      <c r="AH243" s="351">
        <v>0</v>
      </c>
      <c r="AI243" s="351">
        <v>0</v>
      </c>
      <c r="AJ243" s="351">
        <v>35394.58</v>
      </c>
      <c r="AK243" s="351">
        <v>23754.75</v>
      </c>
      <c r="AL243" s="351">
        <v>0</v>
      </c>
      <c r="AM243" s="352"/>
      <c r="AN243" s="352"/>
    </row>
    <row r="244" spans="1:40" s="19" customFormat="1" ht="24" hidden="1" customHeight="1">
      <c r="A244" s="599" t="s">
        <v>1006</v>
      </c>
      <c r="B244" s="599"/>
      <c r="C244" s="348">
        <f>SUM(C243)</f>
        <v>634.20000000000005</v>
      </c>
      <c r="D244" s="248"/>
      <c r="E244" s="79"/>
      <c r="F244" s="79"/>
      <c r="G244" s="348">
        <f>ROUND(SUM(G243),2)</f>
        <v>1269115.33</v>
      </c>
      <c r="H244" s="348">
        <f t="shared" ref="H244:AL244" si="108">SUM(H243)</f>
        <v>0</v>
      </c>
      <c r="I244" s="348">
        <f t="shared" si="108"/>
        <v>0</v>
      </c>
      <c r="J244" s="348">
        <f t="shared" si="108"/>
        <v>0</v>
      </c>
      <c r="K244" s="348">
        <f t="shared" si="108"/>
        <v>0</v>
      </c>
      <c r="L244" s="348">
        <f t="shared" si="108"/>
        <v>0</v>
      </c>
      <c r="M244" s="348">
        <f t="shared" si="108"/>
        <v>0</v>
      </c>
      <c r="N244" s="348">
        <f t="shared" si="108"/>
        <v>0</v>
      </c>
      <c r="O244" s="348">
        <f t="shared" si="108"/>
        <v>0</v>
      </c>
      <c r="P244" s="348">
        <f t="shared" si="108"/>
        <v>0</v>
      </c>
      <c r="Q244" s="348">
        <f t="shared" si="108"/>
        <v>0</v>
      </c>
      <c r="R244" s="348">
        <f t="shared" si="108"/>
        <v>0</v>
      </c>
      <c r="S244" s="348">
        <f t="shared" si="108"/>
        <v>0</v>
      </c>
      <c r="T244" s="44">
        <f t="shared" si="108"/>
        <v>0</v>
      </c>
      <c r="U244" s="348">
        <f t="shared" si="108"/>
        <v>0</v>
      </c>
      <c r="V244" s="79" t="s">
        <v>387</v>
      </c>
      <c r="W244" s="348">
        <f t="shared" si="108"/>
        <v>482</v>
      </c>
      <c r="X244" s="348">
        <f t="shared" si="108"/>
        <v>1209966</v>
      </c>
      <c r="Y244" s="348">
        <f t="shared" si="108"/>
        <v>0</v>
      </c>
      <c r="Z244" s="348">
        <f t="shared" si="108"/>
        <v>0</v>
      </c>
      <c r="AA244" s="348">
        <f t="shared" si="108"/>
        <v>0</v>
      </c>
      <c r="AB244" s="348">
        <f t="shared" si="108"/>
        <v>0</v>
      </c>
      <c r="AC244" s="348">
        <f t="shared" si="108"/>
        <v>0</v>
      </c>
      <c r="AD244" s="348">
        <f t="shared" si="108"/>
        <v>0</v>
      </c>
      <c r="AE244" s="348">
        <f t="shared" si="108"/>
        <v>0</v>
      </c>
      <c r="AF244" s="348">
        <f t="shared" si="108"/>
        <v>0</v>
      </c>
      <c r="AG244" s="348">
        <f t="shared" si="108"/>
        <v>0</v>
      </c>
      <c r="AH244" s="348">
        <f t="shared" si="108"/>
        <v>0</v>
      </c>
      <c r="AI244" s="348">
        <f t="shared" si="108"/>
        <v>0</v>
      </c>
      <c r="AJ244" s="348">
        <f t="shared" si="108"/>
        <v>35394.58</v>
      </c>
      <c r="AK244" s="348">
        <f t="shared" si="108"/>
        <v>23754.75</v>
      </c>
      <c r="AL244" s="348">
        <f t="shared" si="108"/>
        <v>0</v>
      </c>
      <c r="AM244" s="352"/>
      <c r="AN244" s="352"/>
    </row>
    <row r="245" spans="1:40" s="19" customFormat="1" ht="12" hidden="1" customHeight="1">
      <c r="A245" s="618" t="s">
        <v>405</v>
      </c>
      <c r="B245" s="619"/>
      <c r="C245" s="619"/>
      <c r="D245" s="619"/>
      <c r="E245" s="619"/>
      <c r="F245" s="619"/>
      <c r="G245" s="619"/>
      <c r="H245" s="619"/>
      <c r="I245" s="619"/>
      <c r="J245" s="619"/>
      <c r="K245" s="619"/>
      <c r="L245" s="619"/>
      <c r="M245" s="619"/>
      <c r="N245" s="619"/>
      <c r="O245" s="619"/>
      <c r="P245" s="619"/>
      <c r="Q245" s="619"/>
      <c r="R245" s="619"/>
      <c r="S245" s="619"/>
      <c r="T245" s="619"/>
      <c r="U245" s="619"/>
      <c r="V245" s="619"/>
      <c r="W245" s="619"/>
      <c r="X245" s="619"/>
      <c r="Y245" s="619"/>
      <c r="Z245" s="619"/>
      <c r="AA245" s="619"/>
      <c r="AB245" s="619"/>
      <c r="AC245" s="619"/>
      <c r="AD245" s="619"/>
      <c r="AE245" s="619"/>
      <c r="AF245" s="619"/>
      <c r="AG245" s="619"/>
      <c r="AH245" s="619"/>
      <c r="AI245" s="619"/>
      <c r="AJ245" s="619"/>
      <c r="AK245" s="619"/>
      <c r="AL245" s="620"/>
      <c r="AM245" s="352"/>
      <c r="AN245" s="352"/>
    </row>
    <row r="246" spans="1:40" s="19" customFormat="1" ht="9" hidden="1" customHeight="1">
      <c r="A246" s="54">
        <v>205</v>
      </c>
      <c r="B246" s="62" t="s">
        <v>880</v>
      </c>
      <c r="C246" s="348">
        <v>1137.9000000000001</v>
      </c>
      <c r="D246" s="343"/>
      <c r="E246" s="348"/>
      <c r="F246" s="348"/>
      <c r="G246" s="117">
        <f t="shared" ref="G246" si="109">ROUND(H246+U246+X246+Z246+AB246+AD246+AF246+AH246+AI246+AJ246+AK246+AL246,2)</f>
        <v>2465727.2000000002</v>
      </c>
      <c r="H246" s="348">
        <f t="shared" ref="H246" si="110">I246+K246+M246+O246+Q246+S246</f>
        <v>0</v>
      </c>
      <c r="I246" s="129">
        <v>0</v>
      </c>
      <c r="J246" s="129">
        <v>0</v>
      </c>
      <c r="K246" s="129">
        <v>0</v>
      </c>
      <c r="L246" s="129">
        <v>0</v>
      </c>
      <c r="M246" s="129">
        <v>0</v>
      </c>
      <c r="N246" s="348">
        <v>0</v>
      </c>
      <c r="O246" s="348">
        <v>0</v>
      </c>
      <c r="P246" s="348">
        <v>0</v>
      </c>
      <c r="Q246" s="348">
        <v>0</v>
      </c>
      <c r="R246" s="348">
        <v>0</v>
      </c>
      <c r="S246" s="348">
        <v>0</v>
      </c>
      <c r="T246" s="44">
        <v>0</v>
      </c>
      <c r="U246" s="348">
        <v>0</v>
      </c>
      <c r="V246" s="348" t="s">
        <v>997</v>
      </c>
      <c r="W246" s="348">
        <v>606.20000000000005</v>
      </c>
      <c r="X246" s="348">
        <v>2399714</v>
      </c>
      <c r="Y246" s="351">
        <v>0</v>
      </c>
      <c r="Z246" s="351">
        <v>0</v>
      </c>
      <c r="AA246" s="351">
        <v>0</v>
      </c>
      <c r="AB246" s="351">
        <v>0</v>
      </c>
      <c r="AC246" s="351">
        <v>0</v>
      </c>
      <c r="AD246" s="351">
        <v>0</v>
      </c>
      <c r="AE246" s="351">
        <v>0</v>
      </c>
      <c r="AF246" s="351">
        <v>0</v>
      </c>
      <c r="AG246" s="351">
        <v>0</v>
      </c>
      <c r="AH246" s="351">
        <v>0</v>
      </c>
      <c r="AI246" s="351">
        <v>0</v>
      </c>
      <c r="AJ246" s="351">
        <v>41008.199999999997</v>
      </c>
      <c r="AK246" s="351">
        <v>25005</v>
      </c>
      <c r="AL246" s="351">
        <v>0</v>
      </c>
      <c r="AM246" s="352"/>
      <c r="AN246" s="352"/>
    </row>
    <row r="247" spans="1:40" s="19" customFormat="1" ht="36" hidden="1" customHeight="1">
      <c r="A247" s="599" t="s">
        <v>406</v>
      </c>
      <c r="B247" s="599"/>
      <c r="C247" s="348">
        <f>SUM(C246)</f>
        <v>1137.9000000000001</v>
      </c>
      <c r="D247" s="248"/>
      <c r="E247" s="348"/>
      <c r="F247" s="348"/>
      <c r="G247" s="348">
        <f>ROUND(SUM(G246),2)</f>
        <v>2465727.2000000002</v>
      </c>
      <c r="H247" s="348">
        <f t="shared" ref="H247:AL247" si="111">SUM(H246)</f>
        <v>0</v>
      </c>
      <c r="I247" s="348">
        <f t="shared" si="111"/>
        <v>0</v>
      </c>
      <c r="J247" s="348">
        <f t="shared" si="111"/>
        <v>0</v>
      </c>
      <c r="K247" s="348">
        <f t="shared" si="111"/>
        <v>0</v>
      </c>
      <c r="L247" s="348">
        <f t="shared" si="111"/>
        <v>0</v>
      </c>
      <c r="M247" s="348">
        <f t="shared" si="111"/>
        <v>0</v>
      </c>
      <c r="N247" s="348">
        <f t="shared" si="111"/>
        <v>0</v>
      </c>
      <c r="O247" s="348">
        <f t="shared" si="111"/>
        <v>0</v>
      </c>
      <c r="P247" s="348">
        <f t="shared" si="111"/>
        <v>0</v>
      </c>
      <c r="Q247" s="348">
        <f t="shared" si="111"/>
        <v>0</v>
      </c>
      <c r="R247" s="348">
        <f t="shared" si="111"/>
        <v>0</v>
      </c>
      <c r="S247" s="348">
        <f t="shared" si="111"/>
        <v>0</v>
      </c>
      <c r="T247" s="44">
        <f t="shared" si="111"/>
        <v>0</v>
      </c>
      <c r="U247" s="348">
        <f t="shared" si="111"/>
        <v>0</v>
      </c>
      <c r="V247" s="348" t="s">
        <v>387</v>
      </c>
      <c r="W247" s="348">
        <f t="shared" si="111"/>
        <v>606.20000000000005</v>
      </c>
      <c r="X247" s="348">
        <f t="shared" si="111"/>
        <v>2399714</v>
      </c>
      <c r="Y247" s="348">
        <f t="shared" si="111"/>
        <v>0</v>
      </c>
      <c r="Z247" s="348">
        <f t="shared" si="111"/>
        <v>0</v>
      </c>
      <c r="AA247" s="348">
        <f t="shared" si="111"/>
        <v>0</v>
      </c>
      <c r="AB247" s="348">
        <f t="shared" si="111"/>
        <v>0</v>
      </c>
      <c r="AC247" s="348">
        <f t="shared" si="111"/>
        <v>0</v>
      </c>
      <c r="AD247" s="348">
        <f t="shared" si="111"/>
        <v>0</v>
      </c>
      <c r="AE247" s="348">
        <f t="shared" si="111"/>
        <v>0</v>
      </c>
      <c r="AF247" s="348">
        <f t="shared" si="111"/>
        <v>0</v>
      </c>
      <c r="AG247" s="348">
        <f t="shared" si="111"/>
        <v>0</v>
      </c>
      <c r="AH247" s="348">
        <f t="shared" si="111"/>
        <v>0</v>
      </c>
      <c r="AI247" s="348">
        <f t="shared" si="111"/>
        <v>0</v>
      </c>
      <c r="AJ247" s="348">
        <f t="shared" si="111"/>
        <v>41008.199999999997</v>
      </c>
      <c r="AK247" s="348">
        <f t="shared" si="111"/>
        <v>25005</v>
      </c>
      <c r="AL247" s="348">
        <f t="shared" si="111"/>
        <v>0</v>
      </c>
      <c r="AM247" s="352"/>
      <c r="AN247" s="352"/>
    </row>
    <row r="248" spans="1:40" s="19" customFormat="1" ht="12.75" hidden="1" customHeight="1">
      <c r="A248" s="519" t="s">
        <v>292</v>
      </c>
      <c r="B248" s="520"/>
      <c r="C248" s="520"/>
      <c r="D248" s="520"/>
      <c r="E248" s="520"/>
      <c r="F248" s="520"/>
      <c r="G248" s="520"/>
      <c r="H248" s="520"/>
      <c r="I248" s="520"/>
      <c r="J248" s="520"/>
      <c r="K248" s="520"/>
      <c r="L248" s="520"/>
      <c r="M248" s="520"/>
      <c r="N248" s="520"/>
      <c r="O248" s="520"/>
      <c r="P248" s="520"/>
      <c r="Q248" s="520"/>
      <c r="R248" s="520"/>
      <c r="S248" s="520"/>
      <c r="T248" s="520"/>
      <c r="U248" s="520"/>
      <c r="V248" s="520"/>
      <c r="W248" s="520"/>
      <c r="X248" s="520"/>
      <c r="Y248" s="520"/>
      <c r="Z248" s="520"/>
      <c r="AA248" s="520"/>
      <c r="AB248" s="520"/>
      <c r="AC248" s="520"/>
      <c r="AD248" s="520"/>
      <c r="AE248" s="520"/>
      <c r="AF248" s="520"/>
      <c r="AG248" s="520"/>
      <c r="AH248" s="520"/>
      <c r="AI248" s="520"/>
      <c r="AJ248" s="520"/>
      <c r="AK248" s="520"/>
      <c r="AL248" s="521"/>
      <c r="AM248" s="352"/>
      <c r="AN248" s="352"/>
    </row>
    <row r="249" spans="1:40" s="19" customFormat="1" ht="9" hidden="1" customHeight="1">
      <c r="A249" s="349">
        <v>206</v>
      </c>
      <c r="B249" s="346" t="s">
        <v>856</v>
      </c>
      <c r="C249" s="348">
        <v>5744.2</v>
      </c>
      <c r="D249" s="343"/>
      <c r="E249" s="348"/>
      <c r="F249" s="348"/>
      <c r="G249" s="117">
        <f t="shared" ref="G249:G254" si="112">ROUND(H249+U249+X249+Z249+AB249+AD249+AF249+AH249+AI249+AJ249+AK249+AL249,2)</f>
        <v>4842475.58</v>
      </c>
      <c r="H249" s="348">
        <f t="shared" ref="H249" si="113">I249+K249+M249+O249+Q249+S249</f>
        <v>0</v>
      </c>
      <c r="I249" s="129">
        <v>0</v>
      </c>
      <c r="J249" s="129">
        <v>0</v>
      </c>
      <c r="K249" s="129">
        <v>0</v>
      </c>
      <c r="L249" s="129">
        <v>0</v>
      </c>
      <c r="M249" s="129">
        <v>0</v>
      </c>
      <c r="N249" s="348">
        <v>0</v>
      </c>
      <c r="O249" s="348">
        <v>0</v>
      </c>
      <c r="P249" s="348">
        <v>0</v>
      </c>
      <c r="Q249" s="348">
        <v>0</v>
      </c>
      <c r="R249" s="348">
        <v>0</v>
      </c>
      <c r="S249" s="348">
        <v>0</v>
      </c>
      <c r="T249" s="44">
        <v>0</v>
      </c>
      <c r="U249" s="348">
        <v>0</v>
      </c>
      <c r="V249" s="348" t="s">
        <v>997</v>
      </c>
      <c r="W249" s="348">
        <v>1570</v>
      </c>
      <c r="X249" s="348">
        <v>4610779</v>
      </c>
      <c r="Y249" s="351">
        <v>0</v>
      </c>
      <c r="Z249" s="351">
        <v>0</v>
      </c>
      <c r="AA249" s="351">
        <v>0</v>
      </c>
      <c r="AB249" s="351">
        <v>0</v>
      </c>
      <c r="AC249" s="351">
        <v>0</v>
      </c>
      <c r="AD249" s="351">
        <v>0</v>
      </c>
      <c r="AE249" s="351">
        <v>0</v>
      </c>
      <c r="AF249" s="351">
        <v>0</v>
      </c>
      <c r="AG249" s="351">
        <v>0</v>
      </c>
      <c r="AH249" s="351">
        <v>0</v>
      </c>
      <c r="AI249" s="351">
        <v>0</v>
      </c>
      <c r="AJ249" s="351">
        <v>154206.07999999999</v>
      </c>
      <c r="AK249" s="351">
        <v>77490.5</v>
      </c>
      <c r="AL249" s="351">
        <v>0</v>
      </c>
      <c r="AM249" s="223"/>
      <c r="AN249" s="223"/>
    </row>
    <row r="250" spans="1:40" s="19" customFormat="1" ht="9" hidden="1" customHeight="1">
      <c r="A250" s="349">
        <v>207</v>
      </c>
      <c r="B250" s="346" t="s">
        <v>857</v>
      </c>
      <c r="C250" s="348">
        <v>6094.5</v>
      </c>
      <c r="D250" s="343"/>
      <c r="E250" s="348"/>
      <c r="F250" s="348"/>
      <c r="G250" s="117">
        <f t="shared" si="112"/>
        <v>4864277.04</v>
      </c>
      <c r="H250" s="348">
        <f t="shared" ref="H250:H259" si="114">I250+K250+M250+O250+Q250+S250</f>
        <v>0</v>
      </c>
      <c r="I250" s="129">
        <v>0</v>
      </c>
      <c r="J250" s="129">
        <v>0</v>
      </c>
      <c r="K250" s="129">
        <v>0</v>
      </c>
      <c r="L250" s="129">
        <v>0</v>
      </c>
      <c r="M250" s="129">
        <v>0</v>
      </c>
      <c r="N250" s="348">
        <v>0</v>
      </c>
      <c r="O250" s="348">
        <v>0</v>
      </c>
      <c r="P250" s="348">
        <v>0</v>
      </c>
      <c r="Q250" s="348">
        <v>0</v>
      </c>
      <c r="R250" s="348">
        <v>0</v>
      </c>
      <c r="S250" s="348">
        <v>0</v>
      </c>
      <c r="T250" s="44">
        <v>0</v>
      </c>
      <c r="U250" s="348">
        <v>0</v>
      </c>
      <c r="V250" s="348" t="s">
        <v>997</v>
      </c>
      <c r="W250" s="348">
        <v>1570</v>
      </c>
      <c r="X250" s="348">
        <v>4610779</v>
      </c>
      <c r="Y250" s="351">
        <v>0</v>
      </c>
      <c r="Z250" s="351">
        <v>0</v>
      </c>
      <c r="AA250" s="351">
        <v>0</v>
      </c>
      <c r="AB250" s="351">
        <v>0</v>
      </c>
      <c r="AC250" s="351">
        <v>0</v>
      </c>
      <c r="AD250" s="351">
        <v>0</v>
      </c>
      <c r="AE250" s="351">
        <v>0</v>
      </c>
      <c r="AF250" s="351">
        <v>0</v>
      </c>
      <c r="AG250" s="351">
        <v>0</v>
      </c>
      <c r="AH250" s="351">
        <v>0</v>
      </c>
      <c r="AI250" s="351">
        <v>0</v>
      </c>
      <c r="AJ250" s="351">
        <v>168716.09</v>
      </c>
      <c r="AK250" s="351">
        <v>84781.95</v>
      </c>
      <c r="AL250" s="351">
        <v>0</v>
      </c>
      <c r="AM250" s="223"/>
      <c r="AN250" s="223"/>
    </row>
    <row r="251" spans="1:40" s="19" customFormat="1" ht="9" hidden="1" customHeight="1">
      <c r="A251" s="349">
        <v>208</v>
      </c>
      <c r="B251" s="346" t="s">
        <v>858</v>
      </c>
      <c r="C251" s="348">
        <v>922.2</v>
      </c>
      <c r="D251" s="343"/>
      <c r="E251" s="348"/>
      <c r="F251" s="348"/>
      <c r="G251" s="117">
        <f t="shared" si="112"/>
        <v>3055139.83</v>
      </c>
      <c r="H251" s="348">
        <f t="shared" si="114"/>
        <v>0</v>
      </c>
      <c r="I251" s="129">
        <v>0</v>
      </c>
      <c r="J251" s="129">
        <v>0</v>
      </c>
      <c r="K251" s="129">
        <v>0</v>
      </c>
      <c r="L251" s="129">
        <v>0</v>
      </c>
      <c r="M251" s="129">
        <v>0</v>
      </c>
      <c r="N251" s="348">
        <v>0</v>
      </c>
      <c r="O251" s="348">
        <v>0</v>
      </c>
      <c r="P251" s="348">
        <v>0</v>
      </c>
      <c r="Q251" s="348">
        <v>0</v>
      </c>
      <c r="R251" s="348">
        <v>0</v>
      </c>
      <c r="S251" s="348">
        <v>0</v>
      </c>
      <c r="T251" s="44">
        <v>0</v>
      </c>
      <c r="U251" s="348">
        <v>0</v>
      </c>
      <c r="V251" s="348" t="s">
        <v>998</v>
      </c>
      <c r="W251" s="348">
        <v>760</v>
      </c>
      <c r="X251" s="348">
        <v>2916796</v>
      </c>
      <c r="Y251" s="351">
        <v>0</v>
      </c>
      <c r="Z251" s="351">
        <v>0</v>
      </c>
      <c r="AA251" s="351">
        <v>0</v>
      </c>
      <c r="AB251" s="351">
        <v>0</v>
      </c>
      <c r="AC251" s="351">
        <v>0</v>
      </c>
      <c r="AD251" s="351">
        <v>0</v>
      </c>
      <c r="AE251" s="351">
        <v>0</v>
      </c>
      <c r="AF251" s="351">
        <v>0</v>
      </c>
      <c r="AG251" s="351">
        <v>0</v>
      </c>
      <c r="AH251" s="351">
        <v>0</v>
      </c>
      <c r="AI251" s="351">
        <v>0</v>
      </c>
      <c r="AJ251" s="351">
        <v>92074.99</v>
      </c>
      <c r="AK251" s="351">
        <v>46268.84</v>
      </c>
      <c r="AL251" s="351">
        <v>0</v>
      </c>
      <c r="AM251" s="223"/>
      <c r="AN251" s="223"/>
    </row>
    <row r="252" spans="1:40" s="19" customFormat="1" ht="9" hidden="1" customHeight="1">
      <c r="A252" s="349">
        <v>209</v>
      </c>
      <c r="B252" s="346" t="s">
        <v>859</v>
      </c>
      <c r="C252" s="348">
        <v>1816.3</v>
      </c>
      <c r="D252" s="343"/>
      <c r="E252" s="348"/>
      <c r="F252" s="348"/>
      <c r="G252" s="117">
        <f t="shared" si="112"/>
        <v>2375751.44</v>
      </c>
      <c r="H252" s="348">
        <f t="shared" si="114"/>
        <v>0</v>
      </c>
      <c r="I252" s="129">
        <v>0</v>
      </c>
      <c r="J252" s="129">
        <v>0</v>
      </c>
      <c r="K252" s="129">
        <v>0</v>
      </c>
      <c r="L252" s="129">
        <v>0</v>
      </c>
      <c r="M252" s="129">
        <v>0</v>
      </c>
      <c r="N252" s="348">
        <v>0</v>
      </c>
      <c r="O252" s="348">
        <v>0</v>
      </c>
      <c r="P252" s="348">
        <v>0</v>
      </c>
      <c r="Q252" s="348">
        <v>0</v>
      </c>
      <c r="R252" s="348">
        <v>0</v>
      </c>
      <c r="S252" s="348">
        <v>0</v>
      </c>
      <c r="T252" s="44">
        <v>0</v>
      </c>
      <c r="U252" s="348">
        <v>0</v>
      </c>
      <c r="V252" s="348" t="s">
        <v>998</v>
      </c>
      <c r="W252" s="348">
        <v>704</v>
      </c>
      <c r="X252" s="348">
        <v>2280660</v>
      </c>
      <c r="Y252" s="351">
        <v>0</v>
      </c>
      <c r="Z252" s="351">
        <v>0</v>
      </c>
      <c r="AA252" s="351">
        <v>0</v>
      </c>
      <c r="AB252" s="351">
        <v>0</v>
      </c>
      <c r="AC252" s="351">
        <v>0</v>
      </c>
      <c r="AD252" s="351">
        <v>0</v>
      </c>
      <c r="AE252" s="351">
        <v>0</v>
      </c>
      <c r="AF252" s="351">
        <v>0</v>
      </c>
      <c r="AG252" s="351">
        <v>0</v>
      </c>
      <c r="AH252" s="351">
        <v>0</v>
      </c>
      <c r="AI252" s="351">
        <v>0</v>
      </c>
      <c r="AJ252" s="351">
        <v>63288.28</v>
      </c>
      <c r="AK252" s="351">
        <v>31803.16</v>
      </c>
      <c r="AL252" s="351">
        <v>0</v>
      </c>
      <c r="AM252" s="223"/>
      <c r="AN252" s="223"/>
    </row>
    <row r="253" spans="1:40" s="19" customFormat="1" ht="9" hidden="1" customHeight="1">
      <c r="A253" s="349">
        <v>210</v>
      </c>
      <c r="B253" s="346" t="s">
        <v>860</v>
      </c>
      <c r="C253" s="348">
        <v>640.4</v>
      </c>
      <c r="D253" s="343"/>
      <c r="E253" s="348"/>
      <c r="F253" s="348"/>
      <c r="G253" s="117">
        <f t="shared" si="112"/>
        <v>1832427.25</v>
      </c>
      <c r="H253" s="348">
        <f t="shared" si="114"/>
        <v>0</v>
      </c>
      <c r="I253" s="129">
        <v>0</v>
      </c>
      <c r="J253" s="129">
        <v>0</v>
      </c>
      <c r="K253" s="129">
        <v>0</v>
      </c>
      <c r="L253" s="129">
        <v>0</v>
      </c>
      <c r="M253" s="129">
        <v>0</v>
      </c>
      <c r="N253" s="348">
        <v>0</v>
      </c>
      <c r="O253" s="348">
        <v>0</v>
      </c>
      <c r="P253" s="348">
        <v>0</v>
      </c>
      <c r="Q253" s="348">
        <v>0</v>
      </c>
      <c r="R253" s="348">
        <v>0</v>
      </c>
      <c r="S253" s="348">
        <v>0</v>
      </c>
      <c r="T253" s="44">
        <v>0</v>
      </c>
      <c r="U253" s="348">
        <v>0</v>
      </c>
      <c r="V253" s="348" t="s">
        <v>997</v>
      </c>
      <c r="W253" s="348">
        <v>583</v>
      </c>
      <c r="X253" s="348">
        <v>1744385</v>
      </c>
      <c r="Y253" s="351">
        <v>0</v>
      </c>
      <c r="Z253" s="351">
        <v>0</v>
      </c>
      <c r="AA253" s="351">
        <v>0</v>
      </c>
      <c r="AB253" s="351">
        <v>0</v>
      </c>
      <c r="AC253" s="351">
        <v>0</v>
      </c>
      <c r="AD253" s="351">
        <v>0</v>
      </c>
      <c r="AE253" s="351">
        <v>0</v>
      </c>
      <c r="AF253" s="351">
        <v>0</v>
      </c>
      <c r="AG253" s="351">
        <v>0</v>
      </c>
      <c r="AH253" s="351">
        <v>0</v>
      </c>
      <c r="AI253" s="351">
        <v>0</v>
      </c>
      <c r="AJ253" s="351">
        <v>58596.68</v>
      </c>
      <c r="AK253" s="351">
        <v>29445.57</v>
      </c>
      <c r="AL253" s="351">
        <v>0</v>
      </c>
      <c r="AM253" s="223"/>
      <c r="AN253" s="223"/>
    </row>
    <row r="254" spans="1:40" s="19" customFormat="1" ht="9" hidden="1" customHeight="1">
      <c r="A254" s="349">
        <v>211</v>
      </c>
      <c r="B254" s="346" t="s">
        <v>861</v>
      </c>
      <c r="C254" s="348">
        <v>3115</v>
      </c>
      <c r="D254" s="343"/>
      <c r="E254" s="348"/>
      <c r="F254" s="348"/>
      <c r="G254" s="117">
        <f t="shared" si="112"/>
        <v>4050310.23</v>
      </c>
      <c r="H254" s="348">
        <f t="shared" si="114"/>
        <v>0</v>
      </c>
      <c r="I254" s="129">
        <v>0</v>
      </c>
      <c r="J254" s="129">
        <v>0</v>
      </c>
      <c r="K254" s="129">
        <v>0</v>
      </c>
      <c r="L254" s="129">
        <v>0</v>
      </c>
      <c r="M254" s="129">
        <v>0</v>
      </c>
      <c r="N254" s="348">
        <v>0</v>
      </c>
      <c r="O254" s="348">
        <v>0</v>
      </c>
      <c r="P254" s="348">
        <v>0</v>
      </c>
      <c r="Q254" s="348">
        <v>0</v>
      </c>
      <c r="R254" s="348">
        <v>0</v>
      </c>
      <c r="S254" s="348">
        <v>0</v>
      </c>
      <c r="T254" s="44">
        <v>0</v>
      </c>
      <c r="U254" s="348">
        <v>0</v>
      </c>
      <c r="V254" s="348" t="s">
        <v>998</v>
      </c>
      <c r="W254" s="348">
        <v>1121</v>
      </c>
      <c r="X254" s="348">
        <v>3849249</v>
      </c>
      <c r="Y254" s="351">
        <v>0</v>
      </c>
      <c r="Z254" s="351">
        <v>0</v>
      </c>
      <c r="AA254" s="351">
        <v>0</v>
      </c>
      <c r="AB254" s="351">
        <v>0</v>
      </c>
      <c r="AC254" s="351">
        <v>0</v>
      </c>
      <c r="AD254" s="351">
        <v>0</v>
      </c>
      <c r="AE254" s="351">
        <v>0</v>
      </c>
      <c r="AF254" s="351">
        <v>0</v>
      </c>
      <c r="AG254" s="351">
        <v>0</v>
      </c>
      <c r="AH254" s="351">
        <v>0</v>
      </c>
      <c r="AI254" s="351">
        <v>0</v>
      </c>
      <c r="AJ254" s="351">
        <v>133816.67000000001</v>
      </c>
      <c r="AK254" s="351">
        <v>67244.56</v>
      </c>
      <c r="AL254" s="351">
        <v>0</v>
      </c>
      <c r="AM254" s="223"/>
      <c r="AN254" s="223"/>
    </row>
    <row r="255" spans="1:40" s="19" customFormat="1" ht="9" hidden="1" customHeight="1">
      <c r="A255" s="349">
        <v>212</v>
      </c>
      <c r="B255" s="346" t="s">
        <v>862</v>
      </c>
      <c r="C255" s="348">
        <v>2545.1999999999998</v>
      </c>
      <c r="D255" s="343">
        <v>1361.2</v>
      </c>
      <c r="E255" s="348"/>
      <c r="F255" s="348"/>
      <c r="G255" s="117">
        <f>ROUND(H255+U255+X255+Z255+AB255+AD255+AF255+AH255+AI255+AJ255+AK255+AL255,2)</f>
        <v>5076327.0199999996</v>
      </c>
      <c r="H255" s="348">
        <f t="shared" si="114"/>
        <v>4167972.4700000007</v>
      </c>
      <c r="I255" s="117">
        <v>1573402.24</v>
      </c>
      <c r="J255" s="177">
        <v>1337.5</v>
      </c>
      <c r="K255" s="117">
        <v>1493031.08</v>
      </c>
      <c r="L255" s="117">
        <v>228.5</v>
      </c>
      <c r="M255" s="117">
        <f>181709.91</f>
        <v>181709.91</v>
      </c>
      <c r="N255" s="348">
        <v>444</v>
      </c>
      <c r="O255" s="348">
        <v>340407.33</v>
      </c>
      <c r="P255" s="348">
        <v>412</v>
      </c>
      <c r="Q255" s="348">
        <v>235900.46</v>
      </c>
      <c r="R255" s="348">
        <v>431</v>
      </c>
      <c r="S255" s="348">
        <v>343521.45</v>
      </c>
      <c r="T255" s="44">
        <v>0</v>
      </c>
      <c r="U255" s="348">
        <v>0</v>
      </c>
      <c r="V255" s="348"/>
      <c r="W255" s="348">
        <v>0</v>
      </c>
      <c r="X255" s="348">
        <v>0</v>
      </c>
      <c r="Y255" s="351">
        <v>0</v>
      </c>
      <c r="Z255" s="351">
        <v>0</v>
      </c>
      <c r="AA255" s="351">
        <v>0</v>
      </c>
      <c r="AB255" s="351">
        <v>0</v>
      </c>
      <c r="AC255" s="351">
        <v>0</v>
      </c>
      <c r="AD255" s="351">
        <v>0</v>
      </c>
      <c r="AE255" s="351">
        <v>0</v>
      </c>
      <c r="AF255" s="351">
        <v>0</v>
      </c>
      <c r="AG255" s="351">
        <v>0</v>
      </c>
      <c r="AH255" s="351">
        <v>0</v>
      </c>
      <c r="AI255" s="348">
        <f>233295.09+93758.28+249615.3</f>
        <v>576668.66999999993</v>
      </c>
      <c r="AJ255" s="351">
        <v>221123.92</v>
      </c>
      <c r="AK255" s="351">
        <v>110561.96</v>
      </c>
      <c r="AL255" s="351">
        <v>0</v>
      </c>
      <c r="AM255" s="223"/>
      <c r="AN255" s="223"/>
    </row>
    <row r="256" spans="1:40" s="19" customFormat="1" ht="9" hidden="1" customHeight="1">
      <c r="A256" s="349">
        <v>213</v>
      </c>
      <c r="B256" s="346" t="s">
        <v>863</v>
      </c>
      <c r="C256" s="348">
        <v>372.7</v>
      </c>
      <c r="D256" s="343"/>
      <c r="E256" s="348"/>
      <c r="F256" s="348"/>
      <c r="G256" s="117">
        <f>ROUND(H256+U256+X256+Z256+AB256+AD256+AF256+AH256+AI256+AJ256+AK256+AL256,2)</f>
        <v>1088642.79</v>
      </c>
      <c r="H256" s="348">
        <f t="shared" si="114"/>
        <v>0</v>
      </c>
      <c r="I256" s="129">
        <v>0</v>
      </c>
      <c r="J256" s="129">
        <v>0</v>
      </c>
      <c r="K256" s="129">
        <v>0</v>
      </c>
      <c r="L256" s="129">
        <v>0</v>
      </c>
      <c r="M256" s="129">
        <v>0</v>
      </c>
      <c r="N256" s="348">
        <v>0</v>
      </c>
      <c r="O256" s="348">
        <v>0</v>
      </c>
      <c r="P256" s="348">
        <v>0</v>
      </c>
      <c r="Q256" s="348">
        <v>0</v>
      </c>
      <c r="R256" s="348">
        <v>0</v>
      </c>
      <c r="S256" s="348">
        <v>0</v>
      </c>
      <c r="T256" s="44">
        <v>0</v>
      </c>
      <c r="U256" s="348">
        <v>0</v>
      </c>
      <c r="V256" s="348" t="s">
        <v>997</v>
      </c>
      <c r="W256" s="348">
        <v>302</v>
      </c>
      <c r="X256" s="348">
        <v>1044681</v>
      </c>
      <c r="Y256" s="351">
        <v>0</v>
      </c>
      <c r="Z256" s="351">
        <v>0</v>
      </c>
      <c r="AA256" s="351">
        <v>0</v>
      </c>
      <c r="AB256" s="351">
        <v>0</v>
      </c>
      <c r="AC256" s="351">
        <v>0</v>
      </c>
      <c r="AD256" s="351">
        <v>0</v>
      </c>
      <c r="AE256" s="351">
        <v>0</v>
      </c>
      <c r="AF256" s="351">
        <v>0</v>
      </c>
      <c r="AG256" s="351">
        <v>0</v>
      </c>
      <c r="AH256" s="351">
        <v>0</v>
      </c>
      <c r="AI256" s="351">
        <v>0</v>
      </c>
      <c r="AJ256" s="351">
        <v>29258.85</v>
      </c>
      <c r="AK256" s="351">
        <v>14702.94</v>
      </c>
      <c r="AL256" s="351">
        <v>0</v>
      </c>
      <c r="AM256" s="223"/>
      <c r="AN256" s="223"/>
    </row>
    <row r="257" spans="1:40" s="19" customFormat="1" ht="9" hidden="1" customHeight="1">
      <c r="A257" s="349">
        <v>214</v>
      </c>
      <c r="B257" s="346" t="s">
        <v>864</v>
      </c>
      <c r="C257" s="348">
        <v>972.4</v>
      </c>
      <c r="D257" s="343"/>
      <c r="E257" s="348"/>
      <c r="F257" s="348"/>
      <c r="G257" s="117">
        <f>ROUND(H257+U257+X257+Z257+AB257+AD257+AF257+AH257+AI257+AJ257+AK257+AL257,2)</f>
        <v>2194550.7999999998</v>
      </c>
      <c r="H257" s="348">
        <f t="shared" si="114"/>
        <v>0</v>
      </c>
      <c r="I257" s="129">
        <v>0</v>
      </c>
      <c r="J257" s="129">
        <v>0</v>
      </c>
      <c r="K257" s="129">
        <v>0</v>
      </c>
      <c r="L257" s="129">
        <v>0</v>
      </c>
      <c r="M257" s="129">
        <v>0</v>
      </c>
      <c r="N257" s="348">
        <v>0</v>
      </c>
      <c r="O257" s="348">
        <v>0</v>
      </c>
      <c r="P257" s="348">
        <v>0</v>
      </c>
      <c r="Q257" s="348">
        <v>0</v>
      </c>
      <c r="R257" s="348">
        <v>0</v>
      </c>
      <c r="S257" s="348">
        <v>0</v>
      </c>
      <c r="T257" s="44">
        <v>0</v>
      </c>
      <c r="U257" s="348">
        <v>0</v>
      </c>
      <c r="V257" s="348" t="s">
        <v>997</v>
      </c>
      <c r="W257" s="348">
        <v>743.85</v>
      </c>
      <c r="X257" s="348">
        <v>2097476</v>
      </c>
      <c r="Y257" s="351">
        <v>0</v>
      </c>
      <c r="Z257" s="351">
        <v>0</v>
      </c>
      <c r="AA257" s="351">
        <v>0</v>
      </c>
      <c r="AB257" s="351">
        <v>0</v>
      </c>
      <c r="AC257" s="351">
        <v>0</v>
      </c>
      <c r="AD257" s="351">
        <v>0</v>
      </c>
      <c r="AE257" s="351">
        <v>0</v>
      </c>
      <c r="AF257" s="351">
        <v>0</v>
      </c>
      <c r="AG257" s="351">
        <v>0</v>
      </c>
      <c r="AH257" s="351">
        <v>0</v>
      </c>
      <c r="AI257" s="351">
        <v>0</v>
      </c>
      <c r="AJ257" s="351">
        <v>64608.31</v>
      </c>
      <c r="AK257" s="351">
        <v>32466.49</v>
      </c>
      <c r="AL257" s="351">
        <v>0</v>
      </c>
      <c r="AM257" s="223"/>
      <c r="AN257" s="223"/>
    </row>
    <row r="258" spans="1:40" s="19" customFormat="1" ht="9" hidden="1" customHeight="1">
      <c r="A258" s="349">
        <v>215</v>
      </c>
      <c r="B258" s="346" t="s">
        <v>865</v>
      </c>
      <c r="C258" s="348">
        <v>594.6</v>
      </c>
      <c r="D258" s="343"/>
      <c r="E258" s="348"/>
      <c r="F258" s="348"/>
      <c r="G258" s="117">
        <f>ROUND(H258+U258+X258+Z258+AB258+AD258+AF258+AH258+AI258+AJ258+AK258+AL258,2)</f>
        <v>1848381.13</v>
      </c>
      <c r="H258" s="348">
        <f t="shared" si="114"/>
        <v>0</v>
      </c>
      <c r="I258" s="129">
        <v>0</v>
      </c>
      <c r="J258" s="129">
        <v>0</v>
      </c>
      <c r="K258" s="129">
        <v>0</v>
      </c>
      <c r="L258" s="129">
        <v>0</v>
      </c>
      <c r="M258" s="129">
        <v>0</v>
      </c>
      <c r="N258" s="348">
        <v>0</v>
      </c>
      <c r="O258" s="348">
        <v>0</v>
      </c>
      <c r="P258" s="348">
        <v>0</v>
      </c>
      <c r="Q258" s="348">
        <v>0</v>
      </c>
      <c r="R258" s="348">
        <v>0</v>
      </c>
      <c r="S258" s="348">
        <v>0</v>
      </c>
      <c r="T258" s="44">
        <v>0</v>
      </c>
      <c r="U258" s="348">
        <v>0</v>
      </c>
      <c r="V258" s="348" t="s">
        <v>998</v>
      </c>
      <c r="W258" s="348">
        <v>558.32000000000005</v>
      </c>
      <c r="X258" s="348">
        <v>1791451</v>
      </c>
      <c r="Y258" s="351">
        <v>0</v>
      </c>
      <c r="Z258" s="351">
        <v>0</v>
      </c>
      <c r="AA258" s="351">
        <v>0</v>
      </c>
      <c r="AB258" s="351">
        <v>0</v>
      </c>
      <c r="AC258" s="351">
        <v>0</v>
      </c>
      <c r="AD258" s="351">
        <v>0</v>
      </c>
      <c r="AE258" s="351">
        <v>0</v>
      </c>
      <c r="AF258" s="351">
        <v>0</v>
      </c>
      <c r="AG258" s="351">
        <v>0</v>
      </c>
      <c r="AH258" s="351">
        <v>0</v>
      </c>
      <c r="AI258" s="351">
        <v>0</v>
      </c>
      <c r="AJ258" s="351">
        <v>37889.949999999997</v>
      </c>
      <c r="AK258" s="351">
        <v>19040.18</v>
      </c>
      <c r="AL258" s="351">
        <v>0</v>
      </c>
      <c r="AM258" s="223"/>
      <c r="AN258" s="223"/>
    </row>
    <row r="259" spans="1:40" s="19" customFormat="1" ht="9" hidden="1" customHeight="1">
      <c r="A259" s="349">
        <v>216</v>
      </c>
      <c r="B259" s="346" t="s">
        <v>1066</v>
      </c>
      <c r="C259" s="348">
        <v>3837.7999999999997</v>
      </c>
      <c r="D259" s="343"/>
      <c r="E259" s="348"/>
      <c r="F259" s="348"/>
      <c r="G259" s="348">
        <v>3927193.6000000001</v>
      </c>
      <c r="H259" s="348">
        <f t="shared" si="114"/>
        <v>0</v>
      </c>
      <c r="I259" s="129">
        <v>0</v>
      </c>
      <c r="J259" s="129">
        <v>0</v>
      </c>
      <c r="K259" s="129">
        <v>0</v>
      </c>
      <c r="L259" s="129">
        <v>0</v>
      </c>
      <c r="M259" s="129">
        <v>0</v>
      </c>
      <c r="N259" s="348">
        <v>0</v>
      </c>
      <c r="O259" s="348">
        <v>0</v>
      </c>
      <c r="P259" s="348">
        <v>0</v>
      </c>
      <c r="Q259" s="348">
        <v>0</v>
      </c>
      <c r="R259" s="348">
        <v>0</v>
      </c>
      <c r="S259" s="348">
        <v>0</v>
      </c>
      <c r="T259" s="44">
        <v>2</v>
      </c>
      <c r="U259" s="348">
        <f>ROUND(0.955*T259*1963596.8,2)</f>
        <v>3750469.89</v>
      </c>
      <c r="V259" s="348"/>
      <c r="W259" s="348">
        <v>0</v>
      </c>
      <c r="X259" s="348">
        <v>0</v>
      </c>
      <c r="Y259" s="351">
        <v>0</v>
      </c>
      <c r="Z259" s="351">
        <v>0</v>
      </c>
      <c r="AA259" s="351">
        <v>0</v>
      </c>
      <c r="AB259" s="351">
        <v>0</v>
      </c>
      <c r="AC259" s="351">
        <v>0</v>
      </c>
      <c r="AD259" s="351">
        <v>0</v>
      </c>
      <c r="AE259" s="351">
        <v>0</v>
      </c>
      <c r="AF259" s="351">
        <v>0</v>
      </c>
      <c r="AG259" s="351">
        <v>0</v>
      </c>
      <c r="AH259" s="351">
        <v>0</v>
      </c>
      <c r="AI259" s="351">
        <v>0</v>
      </c>
      <c r="AJ259" s="351">
        <f t="shared" ref="AJ259" si="115">ROUND(G259/100*3,2)</f>
        <v>117815.81</v>
      </c>
      <c r="AK259" s="351">
        <f t="shared" ref="AK259" si="116">ROUND(G259/100*1.5,2)</f>
        <v>58907.9</v>
      </c>
      <c r="AL259" s="351">
        <v>0</v>
      </c>
      <c r="AM259" s="223"/>
      <c r="AN259" s="223"/>
    </row>
    <row r="260" spans="1:40" s="19" customFormat="1" ht="35.25" hidden="1" customHeight="1">
      <c r="A260" s="599" t="s">
        <v>298</v>
      </c>
      <c r="B260" s="599"/>
      <c r="C260" s="348">
        <f>SUM(C249:C259)</f>
        <v>26655.3</v>
      </c>
      <c r="D260" s="348"/>
      <c r="E260" s="348"/>
      <c r="F260" s="348"/>
      <c r="G260" s="348">
        <f>ROUND(SUM(G249:G259),2)</f>
        <v>35155476.710000001</v>
      </c>
      <c r="H260" s="348">
        <f t="shared" ref="H260:AL260" si="117">SUM(H249:H259)</f>
        <v>4167972.4700000007</v>
      </c>
      <c r="I260" s="348">
        <f t="shared" si="117"/>
        <v>1573402.24</v>
      </c>
      <c r="J260" s="348">
        <f t="shared" si="117"/>
        <v>1337.5</v>
      </c>
      <c r="K260" s="348">
        <f t="shared" si="117"/>
        <v>1493031.08</v>
      </c>
      <c r="L260" s="348">
        <f t="shared" si="117"/>
        <v>228.5</v>
      </c>
      <c r="M260" s="348">
        <f t="shared" si="117"/>
        <v>181709.91</v>
      </c>
      <c r="N260" s="348">
        <f t="shared" si="117"/>
        <v>444</v>
      </c>
      <c r="O260" s="348">
        <f t="shared" si="117"/>
        <v>340407.33</v>
      </c>
      <c r="P260" s="348">
        <f t="shared" si="117"/>
        <v>412</v>
      </c>
      <c r="Q260" s="348">
        <f t="shared" si="117"/>
        <v>235900.46</v>
      </c>
      <c r="R260" s="348">
        <f t="shared" si="117"/>
        <v>431</v>
      </c>
      <c r="S260" s="348">
        <f t="shared" si="117"/>
        <v>343521.45</v>
      </c>
      <c r="T260" s="44">
        <f t="shared" si="117"/>
        <v>2</v>
      </c>
      <c r="U260" s="348">
        <f t="shared" si="117"/>
        <v>3750469.89</v>
      </c>
      <c r="V260" s="348" t="s">
        <v>387</v>
      </c>
      <c r="W260" s="348">
        <f t="shared" si="117"/>
        <v>7912.17</v>
      </c>
      <c r="X260" s="348">
        <f t="shared" si="117"/>
        <v>24946256</v>
      </c>
      <c r="Y260" s="348">
        <f t="shared" si="117"/>
        <v>0</v>
      </c>
      <c r="Z260" s="348">
        <f t="shared" si="117"/>
        <v>0</v>
      </c>
      <c r="AA260" s="348">
        <f t="shared" si="117"/>
        <v>0</v>
      </c>
      <c r="AB260" s="348">
        <f t="shared" si="117"/>
        <v>0</v>
      </c>
      <c r="AC260" s="348">
        <f t="shared" si="117"/>
        <v>0</v>
      </c>
      <c r="AD260" s="348">
        <f t="shared" si="117"/>
        <v>0</v>
      </c>
      <c r="AE260" s="348">
        <f t="shared" si="117"/>
        <v>0</v>
      </c>
      <c r="AF260" s="348">
        <f t="shared" si="117"/>
        <v>0</v>
      </c>
      <c r="AG260" s="348">
        <f t="shared" si="117"/>
        <v>0</v>
      </c>
      <c r="AH260" s="348">
        <f t="shared" si="117"/>
        <v>0</v>
      </c>
      <c r="AI260" s="348">
        <f t="shared" si="117"/>
        <v>576668.66999999993</v>
      </c>
      <c r="AJ260" s="348">
        <f t="shared" si="117"/>
        <v>1141395.6300000001</v>
      </c>
      <c r="AK260" s="348">
        <f t="shared" si="117"/>
        <v>572714.05000000005</v>
      </c>
      <c r="AL260" s="348">
        <f t="shared" si="117"/>
        <v>0</v>
      </c>
      <c r="AM260" s="223"/>
      <c r="AN260" s="223"/>
    </row>
    <row r="261" spans="1:40" s="19" customFormat="1" ht="12.75" hidden="1" customHeight="1">
      <c r="A261" s="519" t="s">
        <v>293</v>
      </c>
      <c r="B261" s="520"/>
      <c r="C261" s="520"/>
      <c r="D261" s="520"/>
      <c r="E261" s="520"/>
      <c r="F261" s="520"/>
      <c r="G261" s="520"/>
      <c r="H261" s="520"/>
      <c r="I261" s="520"/>
      <c r="J261" s="520"/>
      <c r="K261" s="520"/>
      <c r="L261" s="520"/>
      <c r="M261" s="520"/>
      <c r="N261" s="520"/>
      <c r="O261" s="520"/>
      <c r="P261" s="520"/>
      <c r="Q261" s="520"/>
      <c r="R261" s="520"/>
      <c r="S261" s="520"/>
      <c r="T261" s="520"/>
      <c r="U261" s="520"/>
      <c r="V261" s="520"/>
      <c r="W261" s="520"/>
      <c r="X261" s="520"/>
      <c r="Y261" s="520"/>
      <c r="Z261" s="520"/>
      <c r="AA261" s="520"/>
      <c r="AB261" s="520"/>
      <c r="AC261" s="520"/>
      <c r="AD261" s="520"/>
      <c r="AE261" s="520"/>
      <c r="AF261" s="520"/>
      <c r="AG261" s="520"/>
      <c r="AH261" s="520"/>
      <c r="AI261" s="520"/>
      <c r="AJ261" s="520"/>
      <c r="AK261" s="520"/>
      <c r="AL261" s="521"/>
      <c r="AM261" s="352"/>
      <c r="AN261" s="352"/>
    </row>
    <row r="262" spans="1:40" s="19" customFormat="1" ht="9" hidden="1" customHeight="1">
      <c r="A262" s="349">
        <v>217</v>
      </c>
      <c r="B262" s="68" t="s">
        <v>878</v>
      </c>
      <c r="C262" s="348">
        <v>3144</v>
      </c>
      <c r="D262" s="343"/>
      <c r="E262" s="348"/>
      <c r="F262" s="348"/>
      <c r="G262" s="117">
        <f t="shared" ref="G262" si="118">ROUND(H262+U262+X262+Z262+AB262+AD262+AF262+AH262+AI262+AJ262+AK262+AL262,2)</f>
        <v>2592756.94</v>
      </c>
      <c r="H262" s="348">
        <f t="shared" ref="H262" si="119">I262+K262+M262+O262+Q262+S262</f>
        <v>0</v>
      </c>
      <c r="I262" s="129">
        <v>0</v>
      </c>
      <c r="J262" s="129">
        <v>0</v>
      </c>
      <c r="K262" s="129">
        <v>0</v>
      </c>
      <c r="L262" s="129">
        <v>0</v>
      </c>
      <c r="M262" s="129">
        <v>0</v>
      </c>
      <c r="N262" s="348">
        <v>0</v>
      </c>
      <c r="O262" s="348">
        <v>0</v>
      </c>
      <c r="P262" s="348">
        <v>0</v>
      </c>
      <c r="Q262" s="348">
        <v>0</v>
      </c>
      <c r="R262" s="348">
        <v>0</v>
      </c>
      <c r="S262" s="348">
        <v>0</v>
      </c>
      <c r="T262" s="44">
        <v>0</v>
      </c>
      <c r="U262" s="348">
        <v>0</v>
      </c>
      <c r="V262" s="348" t="s">
        <v>997</v>
      </c>
      <c r="W262" s="348">
        <v>834.78</v>
      </c>
      <c r="X262" s="348">
        <v>2453096</v>
      </c>
      <c r="Y262" s="351">
        <v>0</v>
      </c>
      <c r="Z262" s="351">
        <v>0</v>
      </c>
      <c r="AA262" s="351">
        <v>0</v>
      </c>
      <c r="AB262" s="351">
        <v>0</v>
      </c>
      <c r="AC262" s="351">
        <v>0</v>
      </c>
      <c r="AD262" s="351">
        <v>0</v>
      </c>
      <c r="AE262" s="351">
        <v>0</v>
      </c>
      <c r="AF262" s="351">
        <v>0</v>
      </c>
      <c r="AG262" s="351">
        <v>0</v>
      </c>
      <c r="AH262" s="351">
        <v>0</v>
      </c>
      <c r="AI262" s="351">
        <v>0</v>
      </c>
      <c r="AJ262" s="351">
        <v>92951.6</v>
      </c>
      <c r="AK262" s="351">
        <v>46709.34</v>
      </c>
      <c r="AL262" s="351">
        <v>0</v>
      </c>
      <c r="AM262" s="352"/>
      <c r="AN262" s="352"/>
    </row>
    <row r="263" spans="1:40" s="19" customFormat="1" ht="35.25" hidden="1" customHeight="1">
      <c r="A263" s="599" t="s">
        <v>299</v>
      </c>
      <c r="B263" s="599"/>
      <c r="C263" s="348">
        <f>SUM(C262)</f>
        <v>3144</v>
      </c>
      <c r="D263" s="348"/>
      <c r="E263" s="348"/>
      <c r="F263" s="348"/>
      <c r="G263" s="348">
        <f>ROUND(SUM(G262),2)</f>
        <v>2592756.94</v>
      </c>
      <c r="H263" s="348">
        <f t="shared" ref="H263:AL263" si="120">SUM(H262)</f>
        <v>0</v>
      </c>
      <c r="I263" s="348">
        <f t="shared" si="120"/>
        <v>0</v>
      </c>
      <c r="J263" s="348">
        <f t="shared" si="120"/>
        <v>0</v>
      </c>
      <c r="K263" s="348">
        <f t="shared" si="120"/>
        <v>0</v>
      </c>
      <c r="L263" s="348">
        <f t="shared" si="120"/>
        <v>0</v>
      </c>
      <c r="M263" s="348">
        <f t="shared" si="120"/>
        <v>0</v>
      </c>
      <c r="N263" s="348">
        <f t="shared" si="120"/>
        <v>0</v>
      </c>
      <c r="O263" s="348">
        <f t="shared" si="120"/>
        <v>0</v>
      </c>
      <c r="P263" s="348">
        <f t="shared" si="120"/>
        <v>0</v>
      </c>
      <c r="Q263" s="348">
        <f t="shared" si="120"/>
        <v>0</v>
      </c>
      <c r="R263" s="348">
        <f t="shared" si="120"/>
        <v>0</v>
      </c>
      <c r="S263" s="348">
        <f t="shared" si="120"/>
        <v>0</v>
      </c>
      <c r="T263" s="44">
        <f t="shared" si="120"/>
        <v>0</v>
      </c>
      <c r="U263" s="348">
        <f t="shared" si="120"/>
        <v>0</v>
      </c>
      <c r="V263" s="348" t="s">
        <v>387</v>
      </c>
      <c r="W263" s="348">
        <f t="shared" si="120"/>
        <v>834.78</v>
      </c>
      <c r="X263" s="348">
        <f t="shared" si="120"/>
        <v>2453096</v>
      </c>
      <c r="Y263" s="348">
        <f t="shared" si="120"/>
        <v>0</v>
      </c>
      <c r="Z263" s="348">
        <f t="shared" si="120"/>
        <v>0</v>
      </c>
      <c r="AA263" s="348">
        <f t="shared" si="120"/>
        <v>0</v>
      </c>
      <c r="AB263" s="348">
        <f t="shared" si="120"/>
        <v>0</v>
      </c>
      <c r="AC263" s="348">
        <f t="shared" si="120"/>
        <v>0</v>
      </c>
      <c r="AD263" s="348">
        <f t="shared" si="120"/>
        <v>0</v>
      </c>
      <c r="AE263" s="348">
        <f t="shared" si="120"/>
        <v>0</v>
      </c>
      <c r="AF263" s="348">
        <f t="shared" si="120"/>
        <v>0</v>
      </c>
      <c r="AG263" s="348">
        <f t="shared" si="120"/>
        <v>0</v>
      </c>
      <c r="AH263" s="348">
        <f t="shared" si="120"/>
        <v>0</v>
      </c>
      <c r="AI263" s="348">
        <f t="shared" si="120"/>
        <v>0</v>
      </c>
      <c r="AJ263" s="348">
        <f t="shared" si="120"/>
        <v>92951.6</v>
      </c>
      <c r="AK263" s="348">
        <f t="shared" si="120"/>
        <v>46709.34</v>
      </c>
      <c r="AL263" s="348">
        <f t="shared" si="120"/>
        <v>0</v>
      </c>
      <c r="AM263" s="352"/>
      <c r="AN263" s="352"/>
    </row>
    <row r="264" spans="1:40" s="19" customFormat="1" ht="12" hidden="1" customHeight="1">
      <c r="A264" s="519" t="s">
        <v>295</v>
      </c>
      <c r="B264" s="520"/>
      <c r="C264" s="520"/>
      <c r="D264" s="520"/>
      <c r="E264" s="520"/>
      <c r="F264" s="520"/>
      <c r="G264" s="520"/>
      <c r="H264" s="520"/>
      <c r="I264" s="520"/>
      <c r="J264" s="520"/>
      <c r="K264" s="520"/>
      <c r="L264" s="520"/>
      <c r="M264" s="520"/>
      <c r="N264" s="520"/>
      <c r="O264" s="520"/>
      <c r="P264" s="520"/>
      <c r="Q264" s="520"/>
      <c r="R264" s="520"/>
      <c r="S264" s="520"/>
      <c r="T264" s="520"/>
      <c r="U264" s="520"/>
      <c r="V264" s="520"/>
      <c r="W264" s="520"/>
      <c r="X264" s="520"/>
      <c r="Y264" s="520"/>
      <c r="Z264" s="520"/>
      <c r="AA264" s="520"/>
      <c r="AB264" s="520"/>
      <c r="AC264" s="520"/>
      <c r="AD264" s="520"/>
      <c r="AE264" s="520"/>
      <c r="AF264" s="520"/>
      <c r="AG264" s="520"/>
      <c r="AH264" s="520"/>
      <c r="AI264" s="520"/>
      <c r="AJ264" s="520"/>
      <c r="AK264" s="520"/>
      <c r="AL264" s="521"/>
      <c r="AM264" s="352"/>
      <c r="AN264" s="352"/>
    </row>
    <row r="265" spans="1:40" s="19" customFormat="1" ht="9" hidden="1" customHeight="1">
      <c r="A265" s="349">
        <v>218</v>
      </c>
      <c r="B265" s="346" t="s">
        <v>876</v>
      </c>
      <c r="C265" s="348">
        <v>3118.3</v>
      </c>
      <c r="D265" s="343"/>
      <c r="E265" s="348"/>
      <c r="F265" s="348"/>
      <c r="G265" s="117">
        <f t="shared" ref="G265" si="121">ROUND(H265+U265+X265+Z265+AB265+AD265+AF265+AH265+AI265+AJ265+AK265+AL265,2)</f>
        <v>2519358.13</v>
      </c>
      <c r="H265" s="348">
        <f t="shared" ref="H265" si="122">I265+K265+M265+O265+Q265+S265</f>
        <v>0</v>
      </c>
      <c r="I265" s="129">
        <v>0</v>
      </c>
      <c r="J265" s="129">
        <v>0</v>
      </c>
      <c r="K265" s="129">
        <v>0</v>
      </c>
      <c r="L265" s="129">
        <v>0</v>
      </c>
      <c r="M265" s="129">
        <v>0</v>
      </c>
      <c r="N265" s="348">
        <v>0</v>
      </c>
      <c r="O265" s="348">
        <v>0</v>
      </c>
      <c r="P265" s="348">
        <v>0</v>
      </c>
      <c r="Q265" s="348">
        <v>0</v>
      </c>
      <c r="R265" s="348">
        <v>0</v>
      </c>
      <c r="S265" s="348">
        <v>0</v>
      </c>
      <c r="T265" s="44">
        <v>0</v>
      </c>
      <c r="U265" s="348">
        <v>0</v>
      </c>
      <c r="V265" s="348" t="s">
        <v>997</v>
      </c>
      <c r="W265" s="351">
        <v>805.94</v>
      </c>
      <c r="X265" s="348">
        <v>2395667</v>
      </c>
      <c r="Y265" s="351">
        <v>0</v>
      </c>
      <c r="Z265" s="351">
        <v>0</v>
      </c>
      <c r="AA265" s="351">
        <v>0</v>
      </c>
      <c r="AB265" s="351">
        <v>0</v>
      </c>
      <c r="AC265" s="351">
        <v>0</v>
      </c>
      <c r="AD265" s="351">
        <v>0</v>
      </c>
      <c r="AE265" s="351">
        <v>0</v>
      </c>
      <c r="AF265" s="351">
        <v>0</v>
      </c>
      <c r="AG265" s="351">
        <v>0</v>
      </c>
      <c r="AH265" s="351">
        <v>0</v>
      </c>
      <c r="AI265" s="351">
        <v>0</v>
      </c>
      <c r="AJ265" s="351">
        <v>82322.86</v>
      </c>
      <c r="AK265" s="351">
        <v>41368.269999999997</v>
      </c>
      <c r="AL265" s="351">
        <v>0</v>
      </c>
      <c r="AM265" s="352"/>
      <c r="AN265" s="352"/>
    </row>
    <row r="266" spans="1:40" s="19" customFormat="1" ht="34.5" hidden="1" customHeight="1">
      <c r="A266" s="599" t="s">
        <v>301</v>
      </c>
      <c r="B266" s="599"/>
      <c r="C266" s="348">
        <f>SUM(C265)</f>
        <v>3118.3</v>
      </c>
      <c r="D266" s="248"/>
      <c r="E266" s="348"/>
      <c r="F266" s="348"/>
      <c r="G266" s="348">
        <f>ROUND(SUM(G265),2)</f>
        <v>2519358.13</v>
      </c>
      <c r="H266" s="348">
        <f t="shared" ref="H266:AL266" si="123">SUM(H265)</f>
        <v>0</v>
      </c>
      <c r="I266" s="348">
        <f t="shared" si="123"/>
        <v>0</v>
      </c>
      <c r="J266" s="348">
        <f t="shared" si="123"/>
        <v>0</v>
      </c>
      <c r="K266" s="348">
        <f t="shared" si="123"/>
        <v>0</v>
      </c>
      <c r="L266" s="348">
        <f t="shared" si="123"/>
        <v>0</v>
      </c>
      <c r="M266" s="348">
        <f t="shared" si="123"/>
        <v>0</v>
      </c>
      <c r="N266" s="348">
        <f t="shared" si="123"/>
        <v>0</v>
      </c>
      <c r="O266" s="348">
        <f t="shared" si="123"/>
        <v>0</v>
      </c>
      <c r="P266" s="348">
        <f t="shared" si="123"/>
        <v>0</v>
      </c>
      <c r="Q266" s="348">
        <f t="shared" si="123"/>
        <v>0</v>
      </c>
      <c r="R266" s="348">
        <f t="shared" si="123"/>
        <v>0</v>
      </c>
      <c r="S266" s="348">
        <f t="shared" si="123"/>
        <v>0</v>
      </c>
      <c r="T266" s="44">
        <f t="shared" si="123"/>
        <v>0</v>
      </c>
      <c r="U266" s="348">
        <f t="shared" si="123"/>
        <v>0</v>
      </c>
      <c r="V266" s="348" t="s">
        <v>387</v>
      </c>
      <c r="W266" s="348">
        <f t="shared" si="123"/>
        <v>805.94</v>
      </c>
      <c r="X266" s="348">
        <f t="shared" si="123"/>
        <v>2395667</v>
      </c>
      <c r="Y266" s="348">
        <f t="shared" si="123"/>
        <v>0</v>
      </c>
      <c r="Z266" s="348">
        <f t="shared" si="123"/>
        <v>0</v>
      </c>
      <c r="AA266" s="348">
        <f t="shared" si="123"/>
        <v>0</v>
      </c>
      <c r="AB266" s="348">
        <f t="shared" si="123"/>
        <v>0</v>
      </c>
      <c r="AC266" s="348">
        <f t="shared" si="123"/>
        <v>0</v>
      </c>
      <c r="AD266" s="348">
        <f t="shared" si="123"/>
        <v>0</v>
      </c>
      <c r="AE266" s="348">
        <f t="shared" si="123"/>
        <v>0</v>
      </c>
      <c r="AF266" s="348">
        <f t="shared" si="123"/>
        <v>0</v>
      </c>
      <c r="AG266" s="348">
        <f t="shared" si="123"/>
        <v>0</v>
      </c>
      <c r="AH266" s="348">
        <f t="shared" si="123"/>
        <v>0</v>
      </c>
      <c r="AI266" s="348">
        <f t="shared" si="123"/>
        <v>0</v>
      </c>
      <c r="AJ266" s="348">
        <f t="shared" si="123"/>
        <v>82322.86</v>
      </c>
      <c r="AK266" s="348">
        <f t="shared" si="123"/>
        <v>41368.269999999997</v>
      </c>
      <c r="AL266" s="348">
        <f t="shared" si="123"/>
        <v>0</v>
      </c>
      <c r="AM266" s="352"/>
      <c r="AN266" s="352"/>
    </row>
    <row r="267" spans="1:40" s="19" customFormat="1" ht="12" hidden="1" customHeight="1">
      <c r="A267" s="615" t="s">
        <v>327</v>
      </c>
      <c r="B267" s="616"/>
      <c r="C267" s="616"/>
      <c r="D267" s="616"/>
      <c r="E267" s="616"/>
      <c r="F267" s="616"/>
      <c r="G267" s="616"/>
      <c r="H267" s="616"/>
      <c r="I267" s="616"/>
      <c r="J267" s="616"/>
      <c r="K267" s="616"/>
      <c r="L267" s="616"/>
      <c r="M267" s="616"/>
      <c r="N267" s="616"/>
      <c r="O267" s="616"/>
      <c r="P267" s="616"/>
      <c r="Q267" s="616"/>
      <c r="R267" s="616"/>
      <c r="S267" s="616"/>
      <c r="T267" s="616"/>
      <c r="U267" s="616"/>
      <c r="V267" s="616"/>
      <c r="W267" s="616"/>
      <c r="X267" s="616"/>
      <c r="Y267" s="616"/>
      <c r="Z267" s="616"/>
      <c r="AA267" s="616"/>
      <c r="AB267" s="616"/>
      <c r="AC267" s="616"/>
      <c r="AD267" s="616"/>
      <c r="AE267" s="616"/>
      <c r="AF267" s="616"/>
      <c r="AG267" s="616"/>
      <c r="AH267" s="616"/>
      <c r="AI267" s="616"/>
      <c r="AJ267" s="616"/>
      <c r="AK267" s="616"/>
      <c r="AL267" s="617"/>
      <c r="AM267" s="352"/>
      <c r="AN267" s="352"/>
    </row>
    <row r="268" spans="1:40" s="19" customFormat="1" ht="9" hidden="1" customHeight="1">
      <c r="A268" s="90">
        <v>219</v>
      </c>
      <c r="B268" s="346" t="s">
        <v>883</v>
      </c>
      <c r="C268" s="348">
        <f>4576.57+103.1</f>
        <v>4679.67</v>
      </c>
      <c r="D268" s="343"/>
      <c r="E268" s="348"/>
      <c r="F268" s="348"/>
      <c r="G268" s="117">
        <f t="shared" ref="G268:G271" si="124">ROUND(H268+U268+X268+Z268+AB268+AD268+AF268+AH268+AI268+AJ268+AK268+AL268,2)</f>
        <v>4566819.66</v>
      </c>
      <c r="H268" s="348">
        <f t="shared" ref="H268:H271" si="125">I268+K268+M268+O268+Q268+S268</f>
        <v>0</v>
      </c>
      <c r="I268" s="129">
        <v>0</v>
      </c>
      <c r="J268" s="129">
        <v>0</v>
      </c>
      <c r="K268" s="129">
        <v>0</v>
      </c>
      <c r="L268" s="129">
        <v>0</v>
      </c>
      <c r="M268" s="129">
        <v>0</v>
      </c>
      <c r="N268" s="348">
        <v>0</v>
      </c>
      <c r="O268" s="348">
        <v>0</v>
      </c>
      <c r="P268" s="348">
        <v>0</v>
      </c>
      <c r="Q268" s="348">
        <v>0</v>
      </c>
      <c r="R268" s="348">
        <v>0</v>
      </c>
      <c r="S268" s="348">
        <v>0</v>
      </c>
      <c r="T268" s="44">
        <v>0</v>
      </c>
      <c r="U268" s="348">
        <v>0</v>
      </c>
      <c r="V268" s="348" t="s">
        <v>997</v>
      </c>
      <c r="W268" s="351">
        <v>1300</v>
      </c>
      <c r="X268" s="348">
        <v>4421001</v>
      </c>
      <c r="Y268" s="351">
        <v>0</v>
      </c>
      <c r="Z268" s="351">
        <v>0</v>
      </c>
      <c r="AA268" s="351">
        <v>0</v>
      </c>
      <c r="AB268" s="351">
        <v>0</v>
      </c>
      <c r="AC268" s="351">
        <v>0</v>
      </c>
      <c r="AD268" s="351">
        <v>0</v>
      </c>
      <c r="AE268" s="351">
        <v>0</v>
      </c>
      <c r="AF268" s="351">
        <v>0</v>
      </c>
      <c r="AG268" s="351">
        <v>0</v>
      </c>
      <c r="AH268" s="351">
        <v>0</v>
      </c>
      <c r="AI268" s="351">
        <v>0</v>
      </c>
      <c r="AJ268" s="351">
        <v>87256.95</v>
      </c>
      <c r="AK268" s="351">
        <v>58561.71</v>
      </c>
      <c r="AL268" s="351">
        <v>0</v>
      </c>
      <c r="AM268" s="352"/>
      <c r="AN268" s="352"/>
    </row>
    <row r="269" spans="1:40" s="19" customFormat="1" ht="9" hidden="1" customHeight="1">
      <c r="A269" s="90">
        <v>220</v>
      </c>
      <c r="B269" s="346" t="s">
        <v>884</v>
      </c>
      <c r="C269" s="348">
        <v>3784</v>
      </c>
      <c r="D269" s="343"/>
      <c r="E269" s="348"/>
      <c r="F269" s="348"/>
      <c r="G269" s="117">
        <f t="shared" si="124"/>
        <v>3736233.92</v>
      </c>
      <c r="H269" s="348">
        <f t="shared" si="125"/>
        <v>0</v>
      </c>
      <c r="I269" s="129">
        <v>0</v>
      </c>
      <c r="J269" s="129">
        <v>0</v>
      </c>
      <c r="K269" s="129">
        <v>0</v>
      </c>
      <c r="L269" s="129">
        <v>0</v>
      </c>
      <c r="M269" s="129">
        <v>0</v>
      </c>
      <c r="N269" s="348">
        <v>0</v>
      </c>
      <c r="O269" s="348">
        <v>0</v>
      </c>
      <c r="P269" s="348">
        <v>0</v>
      </c>
      <c r="Q269" s="348">
        <v>0</v>
      </c>
      <c r="R269" s="348">
        <v>0</v>
      </c>
      <c r="S269" s="348">
        <v>0</v>
      </c>
      <c r="T269" s="44">
        <v>0</v>
      </c>
      <c r="U269" s="348">
        <v>0</v>
      </c>
      <c r="V269" s="348" t="s">
        <v>997</v>
      </c>
      <c r="W269" s="351">
        <v>1050</v>
      </c>
      <c r="X269" s="348">
        <v>3606584</v>
      </c>
      <c r="Y269" s="351">
        <v>0</v>
      </c>
      <c r="Z269" s="351">
        <v>0</v>
      </c>
      <c r="AA269" s="351">
        <v>0</v>
      </c>
      <c r="AB269" s="351">
        <v>0</v>
      </c>
      <c r="AC269" s="351">
        <v>0</v>
      </c>
      <c r="AD269" s="351">
        <v>0</v>
      </c>
      <c r="AE269" s="351">
        <v>0</v>
      </c>
      <c r="AF269" s="351">
        <v>0</v>
      </c>
      <c r="AG269" s="351">
        <v>0</v>
      </c>
      <c r="AH269" s="351">
        <v>0</v>
      </c>
      <c r="AI269" s="351">
        <v>0</v>
      </c>
      <c r="AJ269" s="351">
        <v>80540.100000000006</v>
      </c>
      <c r="AK269" s="351">
        <v>49109.82</v>
      </c>
      <c r="AL269" s="351">
        <v>0</v>
      </c>
      <c r="AM269" s="352"/>
      <c r="AN269" s="352"/>
    </row>
    <row r="270" spans="1:40" s="19" customFormat="1" ht="9" hidden="1" customHeight="1">
      <c r="A270" s="90">
        <v>221</v>
      </c>
      <c r="B270" s="346" t="s">
        <v>885</v>
      </c>
      <c r="C270" s="348">
        <v>4220.7</v>
      </c>
      <c r="D270" s="343"/>
      <c r="E270" s="348"/>
      <c r="F270" s="348"/>
      <c r="G270" s="117">
        <f t="shared" si="124"/>
        <v>4444538.68</v>
      </c>
      <c r="H270" s="348">
        <f t="shared" si="125"/>
        <v>0</v>
      </c>
      <c r="I270" s="129">
        <v>0</v>
      </c>
      <c r="J270" s="129">
        <v>0</v>
      </c>
      <c r="K270" s="129">
        <v>0</v>
      </c>
      <c r="L270" s="129">
        <v>0</v>
      </c>
      <c r="M270" s="129">
        <v>0</v>
      </c>
      <c r="N270" s="348">
        <v>0</v>
      </c>
      <c r="O270" s="348">
        <v>0</v>
      </c>
      <c r="P270" s="348">
        <v>0</v>
      </c>
      <c r="Q270" s="348">
        <v>0</v>
      </c>
      <c r="R270" s="348">
        <v>0</v>
      </c>
      <c r="S270" s="348">
        <v>0</v>
      </c>
      <c r="T270" s="44">
        <v>0</v>
      </c>
      <c r="U270" s="348">
        <v>0</v>
      </c>
      <c r="V270" s="348" t="s">
        <v>997</v>
      </c>
      <c r="W270" s="351">
        <v>1195</v>
      </c>
      <c r="X270" s="348">
        <v>4296105</v>
      </c>
      <c r="Y270" s="351">
        <v>0</v>
      </c>
      <c r="Z270" s="351">
        <v>0</v>
      </c>
      <c r="AA270" s="351">
        <v>0</v>
      </c>
      <c r="AB270" s="351">
        <v>0</v>
      </c>
      <c r="AC270" s="351">
        <v>0</v>
      </c>
      <c r="AD270" s="351">
        <v>0</v>
      </c>
      <c r="AE270" s="351">
        <v>0</v>
      </c>
      <c r="AF270" s="351">
        <v>0</v>
      </c>
      <c r="AG270" s="351">
        <v>0</v>
      </c>
      <c r="AH270" s="351">
        <v>0</v>
      </c>
      <c r="AI270" s="351">
        <v>0</v>
      </c>
      <c r="AJ270" s="351">
        <v>88821.759999999995</v>
      </c>
      <c r="AK270" s="351">
        <v>59611.92</v>
      </c>
      <c r="AL270" s="351">
        <v>0</v>
      </c>
      <c r="AM270" s="352"/>
      <c r="AN270" s="352"/>
    </row>
    <row r="271" spans="1:40" s="19" customFormat="1" ht="9" hidden="1" customHeight="1">
      <c r="A271" s="90">
        <v>222</v>
      </c>
      <c r="B271" s="346" t="s">
        <v>886</v>
      </c>
      <c r="C271" s="348">
        <f>4334.82+202.9</f>
        <v>4537.7199999999993</v>
      </c>
      <c r="D271" s="343"/>
      <c r="E271" s="348"/>
      <c r="F271" s="348"/>
      <c r="G271" s="117">
        <f t="shared" si="124"/>
        <v>4534507.1399999997</v>
      </c>
      <c r="H271" s="348">
        <f t="shared" si="125"/>
        <v>0</v>
      </c>
      <c r="I271" s="129">
        <v>0</v>
      </c>
      <c r="J271" s="129">
        <v>0</v>
      </c>
      <c r="K271" s="129">
        <v>0</v>
      </c>
      <c r="L271" s="129">
        <v>0</v>
      </c>
      <c r="M271" s="129">
        <v>0</v>
      </c>
      <c r="N271" s="348">
        <v>0</v>
      </c>
      <c r="O271" s="348">
        <v>0</v>
      </c>
      <c r="P271" s="348">
        <v>0</v>
      </c>
      <c r="Q271" s="348">
        <v>0</v>
      </c>
      <c r="R271" s="348">
        <v>0</v>
      </c>
      <c r="S271" s="348">
        <v>0</v>
      </c>
      <c r="T271" s="44">
        <v>0</v>
      </c>
      <c r="U271" s="348">
        <v>0</v>
      </c>
      <c r="V271" s="348" t="s">
        <v>997</v>
      </c>
      <c r="W271" s="351">
        <v>1270</v>
      </c>
      <c r="X271" s="348">
        <v>4393794</v>
      </c>
      <c r="Y271" s="351">
        <v>0</v>
      </c>
      <c r="Z271" s="351">
        <v>0</v>
      </c>
      <c r="AA271" s="351">
        <v>0</v>
      </c>
      <c r="AB271" s="351">
        <v>0</v>
      </c>
      <c r="AC271" s="351">
        <v>0</v>
      </c>
      <c r="AD271" s="351">
        <v>0</v>
      </c>
      <c r="AE271" s="351">
        <v>0</v>
      </c>
      <c r="AF271" s="351">
        <v>0</v>
      </c>
      <c r="AG271" s="351">
        <v>0</v>
      </c>
      <c r="AH271" s="351">
        <v>0</v>
      </c>
      <c r="AI271" s="351">
        <v>0</v>
      </c>
      <c r="AJ271" s="351">
        <v>84201.84</v>
      </c>
      <c r="AK271" s="351">
        <v>56511.3</v>
      </c>
      <c r="AL271" s="351">
        <v>0</v>
      </c>
      <c r="AM271" s="352"/>
      <c r="AN271" s="352"/>
    </row>
    <row r="272" spans="1:40" s="19" customFormat="1" ht="23.25" hidden="1" customHeight="1">
      <c r="A272" s="607" t="s">
        <v>328</v>
      </c>
      <c r="B272" s="607"/>
      <c r="C272" s="92">
        <f>SUM(C268:C271)</f>
        <v>17222.089999999997</v>
      </c>
      <c r="D272" s="92"/>
      <c r="E272" s="348"/>
      <c r="F272" s="348"/>
      <c r="G272" s="92">
        <f>ROUND(SUM(G268:G271),2)</f>
        <v>17282099.399999999</v>
      </c>
      <c r="H272" s="92">
        <f t="shared" ref="H272:AL272" si="126">SUM(H268:H271)</f>
        <v>0</v>
      </c>
      <c r="I272" s="92">
        <f t="shared" si="126"/>
        <v>0</v>
      </c>
      <c r="J272" s="92">
        <f t="shared" si="126"/>
        <v>0</v>
      </c>
      <c r="K272" s="92">
        <f t="shared" si="126"/>
        <v>0</v>
      </c>
      <c r="L272" s="92">
        <f t="shared" si="126"/>
        <v>0</v>
      </c>
      <c r="M272" s="92">
        <f t="shared" si="126"/>
        <v>0</v>
      </c>
      <c r="N272" s="92">
        <f t="shared" si="126"/>
        <v>0</v>
      </c>
      <c r="O272" s="92">
        <f t="shared" si="126"/>
        <v>0</v>
      </c>
      <c r="P272" s="92">
        <f t="shared" si="126"/>
        <v>0</v>
      </c>
      <c r="Q272" s="92">
        <f t="shared" si="126"/>
        <v>0</v>
      </c>
      <c r="R272" s="92">
        <f t="shared" si="126"/>
        <v>0</v>
      </c>
      <c r="S272" s="92">
        <f t="shared" si="126"/>
        <v>0</v>
      </c>
      <c r="T272" s="93">
        <f t="shared" si="126"/>
        <v>0</v>
      </c>
      <c r="U272" s="92">
        <f t="shared" si="126"/>
        <v>0</v>
      </c>
      <c r="V272" s="348" t="s">
        <v>387</v>
      </c>
      <c r="W272" s="92">
        <f t="shared" si="126"/>
        <v>4815</v>
      </c>
      <c r="X272" s="92">
        <f t="shared" si="126"/>
        <v>16717484</v>
      </c>
      <c r="Y272" s="92">
        <f t="shared" si="126"/>
        <v>0</v>
      </c>
      <c r="Z272" s="92">
        <f t="shared" si="126"/>
        <v>0</v>
      </c>
      <c r="AA272" s="92">
        <f t="shared" si="126"/>
        <v>0</v>
      </c>
      <c r="AB272" s="92">
        <f t="shared" si="126"/>
        <v>0</v>
      </c>
      <c r="AC272" s="92">
        <f t="shared" si="126"/>
        <v>0</v>
      </c>
      <c r="AD272" s="92">
        <f t="shared" si="126"/>
        <v>0</v>
      </c>
      <c r="AE272" s="92">
        <f t="shared" si="126"/>
        <v>0</v>
      </c>
      <c r="AF272" s="92">
        <f t="shared" si="126"/>
        <v>0</v>
      </c>
      <c r="AG272" s="92">
        <f t="shared" si="126"/>
        <v>0</v>
      </c>
      <c r="AH272" s="92">
        <f t="shared" si="126"/>
        <v>0</v>
      </c>
      <c r="AI272" s="92">
        <f t="shared" si="126"/>
        <v>0</v>
      </c>
      <c r="AJ272" s="92">
        <f t="shared" si="126"/>
        <v>340820.65</v>
      </c>
      <c r="AK272" s="92">
        <f t="shared" si="126"/>
        <v>223794.75</v>
      </c>
      <c r="AL272" s="92">
        <f t="shared" si="126"/>
        <v>0</v>
      </c>
      <c r="AM272" s="352"/>
      <c r="AN272" s="352"/>
    </row>
    <row r="273" spans="1:40" s="19" customFormat="1" ht="12" hidden="1" customHeight="1">
      <c r="A273" s="519" t="s">
        <v>896</v>
      </c>
      <c r="B273" s="520"/>
      <c r="C273" s="520"/>
      <c r="D273" s="520"/>
      <c r="E273" s="520"/>
      <c r="F273" s="520"/>
      <c r="G273" s="520"/>
      <c r="H273" s="520"/>
      <c r="I273" s="520"/>
      <c r="J273" s="520"/>
      <c r="K273" s="520"/>
      <c r="L273" s="520"/>
      <c r="M273" s="520"/>
      <c r="N273" s="520"/>
      <c r="O273" s="520"/>
      <c r="P273" s="520"/>
      <c r="Q273" s="520"/>
      <c r="R273" s="520"/>
      <c r="S273" s="520"/>
      <c r="T273" s="520"/>
      <c r="U273" s="520"/>
      <c r="V273" s="520"/>
      <c r="W273" s="520"/>
      <c r="X273" s="520"/>
      <c r="Y273" s="520"/>
      <c r="Z273" s="520"/>
      <c r="AA273" s="520"/>
      <c r="AB273" s="520"/>
      <c r="AC273" s="520"/>
      <c r="AD273" s="520"/>
      <c r="AE273" s="520"/>
      <c r="AF273" s="520"/>
      <c r="AG273" s="520"/>
      <c r="AH273" s="520"/>
      <c r="AI273" s="520"/>
      <c r="AJ273" s="520"/>
      <c r="AK273" s="520"/>
      <c r="AL273" s="521"/>
      <c r="AM273" s="352"/>
      <c r="AN273" s="352"/>
    </row>
    <row r="274" spans="1:40" s="19" customFormat="1" ht="9" hidden="1" customHeight="1">
      <c r="A274" s="90">
        <v>223</v>
      </c>
      <c r="B274" s="346" t="s">
        <v>897</v>
      </c>
      <c r="C274" s="348">
        <v>447.6</v>
      </c>
      <c r="D274" s="343"/>
      <c r="E274" s="348"/>
      <c r="F274" s="348"/>
      <c r="G274" s="117">
        <f t="shared" ref="G274" si="127">ROUND(H274+U274+X274+Z274+AB274+AD274+AF274+AH274+AI274+AJ274+AK274+AL274,2)</f>
        <v>1514244.69</v>
      </c>
      <c r="H274" s="348">
        <f t="shared" ref="H274" si="128">I274+K274+M274+O274+Q274+S274</f>
        <v>0</v>
      </c>
      <c r="I274" s="129">
        <v>0</v>
      </c>
      <c r="J274" s="129">
        <v>0</v>
      </c>
      <c r="K274" s="129">
        <v>0</v>
      </c>
      <c r="L274" s="129">
        <v>0</v>
      </c>
      <c r="M274" s="129">
        <v>0</v>
      </c>
      <c r="N274" s="348">
        <v>0</v>
      </c>
      <c r="O274" s="348">
        <v>0</v>
      </c>
      <c r="P274" s="348">
        <v>0</v>
      </c>
      <c r="Q274" s="348">
        <v>0</v>
      </c>
      <c r="R274" s="348">
        <v>0</v>
      </c>
      <c r="S274" s="348">
        <v>0</v>
      </c>
      <c r="T274" s="44">
        <v>0</v>
      </c>
      <c r="U274" s="348">
        <v>0</v>
      </c>
      <c r="V274" s="348" t="s">
        <v>998</v>
      </c>
      <c r="W274" s="16">
        <v>378</v>
      </c>
      <c r="X274" s="348">
        <v>1470006</v>
      </c>
      <c r="Y274" s="351">
        <v>0</v>
      </c>
      <c r="Z274" s="351">
        <v>0</v>
      </c>
      <c r="AA274" s="351">
        <v>0</v>
      </c>
      <c r="AB274" s="351">
        <v>0</v>
      </c>
      <c r="AC274" s="351">
        <v>0</v>
      </c>
      <c r="AD274" s="351">
        <v>0</v>
      </c>
      <c r="AE274" s="351">
        <v>0</v>
      </c>
      <c r="AF274" s="351">
        <v>0</v>
      </c>
      <c r="AG274" s="351">
        <v>0</v>
      </c>
      <c r="AH274" s="351">
        <v>0</v>
      </c>
      <c r="AI274" s="351">
        <v>0</v>
      </c>
      <c r="AJ274" s="351">
        <v>29443.14</v>
      </c>
      <c r="AK274" s="351">
        <v>14795.55</v>
      </c>
      <c r="AL274" s="351">
        <v>0</v>
      </c>
      <c r="AM274" s="352"/>
      <c r="AN274" s="352"/>
    </row>
    <row r="275" spans="1:40" s="19" customFormat="1" ht="35.25" hidden="1" customHeight="1">
      <c r="A275" s="607" t="s">
        <v>898</v>
      </c>
      <c r="B275" s="607"/>
      <c r="C275" s="92">
        <f>SUM(C274)</f>
        <v>447.6</v>
      </c>
      <c r="D275" s="92"/>
      <c r="E275" s="348"/>
      <c r="F275" s="348"/>
      <c r="G275" s="92">
        <f>ROUND(SUM(G274),2)</f>
        <v>1514244.69</v>
      </c>
      <c r="H275" s="92">
        <f t="shared" ref="H275:AL275" si="129">SUM(H274)</f>
        <v>0</v>
      </c>
      <c r="I275" s="92">
        <f t="shared" si="129"/>
        <v>0</v>
      </c>
      <c r="J275" s="92">
        <f t="shared" si="129"/>
        <v>0</v>
      </c>
      <c r="K275" s="92">
        <f t="shared" si="129"/>
        <v>0</v>
      </c>
      <c r="L275" s="92">
        <f t="shared" si="129"/>
        <v>0</v>
      </c>
      <c r="M275" s="92">
        <f t="shared" si="129"/>
        <v>0</v>
      </c>
      <c r="N275" s="92">
        <f t="shared" si="129"/>
        <v>0</v>
      </c>
      <c r="O275" s="92">
        <f t="shared" si="129"/>
        <v>0</v>
      </c>
      <c r="P275" s="92">
        <f t="shared" si="129"/>
        <v>0</v>
      </c>
      <c r="Q275" s="92">
        <f t="shared" si="129"/>
        <v>0</v>
      </c>
      <c r="R275" s="92">
        <f t="shared" si="129"/>
        <v>0</v>
      </c>
      <c r="S275" s="92">
        <f t="shared" si="129"/>
        <v>0</v>
      </c>
      <c r="T275" s="93">
        <f t="shared" si="129"/>
        <v>0</v>
      </c>
      <c r="U275" s="92">
        <f t="shared" si="129"/>
        <v>0</v>
      </c>
      <c r="V275" s="348" t="s">
        <v>387</v>
      </c>
      <c r="W275" s="92">
        <f t="shared" si="129"/>
        <v>378</v>
      </c>
      <c r="X275" s="92">
        <f t="shared" si="129"/>
        <v>1470006</v>
      </c>
      <c r="Y275" s="92">
        <f t="shared" si="129"/>
        <v>0</v>
      </c>
      <c r="Z275" s="92">
        <f t="shared" si="129"/>
        <v>0</v>
      </c>
      <c r="AA275" s="92">
        <f t="shared" si="129"/>
        <v>0</v>
      </c>
      <c r="AB275" s="92">
        <f t="shared" si="129"/>
        <v>0</v>
      </c>
      <c r="AC275" s="92">
        <f t="shared" si="129"/>
        <v>0</v>
      </c>
      <c r="AD275" s="92">
        <f t="shared" si="129"/>
        <v>0</v>
      </c>
      <c r="AE275" s="92">
        <f t="shared" si="129"/>
        <v>0</v>
      </c>
      <c r="AF275" s="92">
        <f t="shared" si="129"/>
        <v>0</v>
      </c>
      <c r="AG275" s="92">
        <f t="shared" si="129"/>
        <v>0</v>
      </c>
      <c r="AH275" s="92">
        <f t="shared" si="129"/>
        <v>0</v>
      </c>
      <c r="AI275" s="92">
        <f t="shared" si="129"/>
        <v>0</v>
      </c>
      <c r="AJ275" s="92">
        <f t="shared" si="129"/>
        <v>29443.14</v>
      </c>
      <c r="AK275" s="92">
        <f t="shared" si="129"/>
        <v>14795.55</v>
      </c>
      <c r="AL275" s="92">
        <f t="shared" si="129"/>
        <v>0</v>
      </c>
      <c r="AM275" s="352"/>
      <c r="AN275" s="352"/>
    </row>
    <row r="276" spans="1:40" s="19" customFormat="1" ht="13.5" hidden="1" customHeight="1">
      <c r="A276" s="519" t="s">
        <v>423</v>
      </c>
      <c r="B276" s="520"/>
      <c r="C276" s="520"/>
      <c r="D276" s="520"/>
      <c r="E276" s="520"/>
      <c r="F276" s="520"/>
      <c r="G276" s="520"/>
      <c r="H276" s="520"/>
      <c r="I276" s="520"/>
      <c r="J276" s="520"/>
      <c r="K276" s="520"/>
      <c r="L276" s="520"/>
      <c r="M276" s="520"/>
      <c r="N276" s="520"/>
      <c r="O276" s="520"/>
      <c r="P276" s="520"/>
      <c r="Q276" s="520"/>
      <c r="R276" s="520"/>
      <c r="S276" s="520"/>
      <c r="T276" s="520"/>
      <c r="U276" s="520"/>
      <c r="V276" s="520"/>
      <c r="W276" s="520"/>
      <c r="X276" s="520"/>
      <c r="Y276" s="520"/>
      <c r="Z276" s="520"/>
      <c r="AA276" s="520"/>
      <c r="AB276" s="520"/>
      <c r="AC276" s="520"/>
      <c r="AD276" s="520"/>
      <c r="AE276" s="520"/>
      <c r="AF276" s="520"/>
      <c r="AG276" s="520"/>
      <c r="AH276" s="520"/>
      <c r="AI276" s="520"/>
      <c r="AJ276" s="520"/>
      <c r="AK276" s="520"/>
      <c r="AL276" s="521"/>
      <c r="AM276" s="352"/>
      <c r="AN276" s="352"/>
    </row>
    <row r="277" spans="1:40" s="19" customFormat="1" ht="9" hidden="1" customHeight="1">
      <c r="A277" s="349">
        <v>224</v>
      </c>
      <c r="B277" s="68" t="s">
        <v>900</v>
      </c>
      <c r="C277" s="348">
        <v>557.29999999999995</v>
      </c>
      <c r="D277" s="343"/>
      <c r="E277" s="348"/>
      <c r="F277" s="348"/>
      <c r="G277" s="117">
        <f t="shared" ref="G277:G282" si="130">ROUND(H277+U277+X277+Z277+AB277+AD277+AF277+AH277+AI277+AJ277+AK277+AL277,2)</f>
        <v>2150384.1800000002</v>
      </c>
      <c r="H277" s="348">
        <f t="shared" ref="H277:H279" si="131">I277+K277+M277+O277+Q277+S277</f>
        <v>0</v>
      </c>
      <c r="I277" s="129">
        <v>0</v>
      </c>
      <c r="J277" s="129">
        <v>0</v>
      </c>
      <c r="K277" s="129">
        <v>0</v>
      </c>
      <c r="L277" s="129">
        <v>0</v>
      </c>
      <c r="M277" s="129">
        <v>0</v>
      </c>
      <c r="N277" s="348">
        <v>0</v>
      </c>
      <c r="O277" s="348">
        <v>0</v>
      </c>
      <c r="P277" s="348">
        <v>0</v>
      </c>
      <c r="Q277" s="348">
        <v>0</v>
      </c>
      <c r="R277" s="348">
        <v>0</v>
      </c>
      <c r="S277" s="348">
        <v>0</v>
      </c>
      <c r="T277" s="44">
        <v>0</v>
      </c>
      <c r="U277" s="348">
        <v>0</v>
      </c>
      <c r="V277" s="348" t="s">
        <v>998</v>
      </c>
      <c r="W277" s="16">
        <v>500</v>
      </c>
      <c r="X277" s="348">
        <v>2078667</v>
      </c>
      <c r="Y277" s="351">
        <v>0</v>
      </c>
      <c r="Z277" s="351">
        <v>0</v>
      </c>
      <c r="AA277" s="351">
        <v>0</v>
      </c>
      <c r="AB277" s="351">
        <v>0</v>
      </c>
      <c r="AC277" s="351">
        <v>0</v>
      </c>
      <c r="AD277" s="351">
        <v>0</v>
      </c>
      <c r="AE277" s="351">
        <v>0</v>
      </c>
      <c r="AF277" s="351">
        <v>0</v>
      </c>
      <c r="AG277" s="351">
        <v>0</v>
      </c>
      <c r="AH277" s="351">
        <v>0</v>
      </c>
      <c r="AI277" s="351">
        <v>0</v>
      </c>
      <c r="AJ277" s="351">
        <v>44551.58</v>
      </c>
      <c r="AK277" s="351">
        <v>27165.599999999999</v>
      </c>
      <c r="AL277" s="351">
        <v>0</v>
      </c>
      <c r="AM277" s="352"/>
      <c r="AN277" s="352"/>
    </row>
    <row r="278" spans="1:40" s="19" customFormat="1" ht="9" hidden="1" customHeight="1">
      <c r="A278" s="349">
        <v>225</v>
      </c>
      <c r="B278" s="68" t="s">
        <v>901</v>
      </c>
      <c r="C278" s="348">
        <v>301.8</v>
      </c>
      <c r="D278" s="343"/>
      <c r="E278" s="348"/>
      <c r="F278" s="348"/>
      <c r="G278" s="117">
        <f t="shared" si="130"/>
        <v>1202264.1000000001</v>
      </c>
      <c r="H278" s="348">
        <f t="shared" si="131"/>
        <v>0</v>
      </c>
      <c r="I278" s="129">
        <v>0</v>
      </c>
      <c r="J278" s="129">
        <v>0</v>
      </c>
      <c r="K278" s="129">
        <v>0</v>
      </c>
      <c r="L278" s="129">
        <v>0</v>
      </c>
      <c r="M278" s="129">
        <v>0</v>
      </c>
      <c r="N278" s="348">
        <v>0</v>
      </c>
      <c r="O278" s="348">
        <v>0</v>
      </c>
      <c r="P278" s="348">
        <v>0</v>
      </c>
      <c r="Q278" s="348">
        <v>0</v>
      </c>
      <c r="R278" s="348">
        <v>0</v>
      </c>
      <c r="S278" s="348">
        <v>0</v>
      </c>
      <c r="T278" s="44">
        <v>0</v>
      </c>
      <c r="U278" s="348">
        <v>0</v>
      </c>
      <c r="V278" s="348" t="s">
        <v>998</v>
      </c>
      <c r="W278" s="16">
        <v>319.7</v>
      </c>
      <c r="X278" s="348">
        <v>1158750.6299999999</v>
      </c>
      <c r="Y278" s="351">
        <v>0</v>
      </c>
      <c r="Z278" s="351">
        <v>0</v>
      </c>
      <c r="AA278" s="351">
        <v>0</v>
      </c>
      <c r="AB278" s="351">
        <v>0</v>
      </c>
      <c r="AC278" s="351">
        <v>0</v>
      </c>
      <c r="AD278" s="351">
        <v>0</v>
      </c>
      <c r="AE278" s="351">
        <v>0</v>
      </c>
      <c r="AF278" s="351">
        <v>0</v>
      </c>
      <c r="AG278" s="351">
        <v>0</v>
      </c>
      <c r="AH278" s="351">
        <v>0</v>
      </c>
      <c r="AI278" s="351">
        <v>0</v>
      </c>
      <c r="AJ278" s="351">
        <v>28960.47</v>
      </c>
      <c r="AK278" s="351">
        <v>14553</v>
      </c>
      <c r="AL278" s="351">
        <v>0</v>
      </c>
      <c r="AM278" s="352"/>
      <c r="AN278" s="352"/>
    </row>
    <row r="279" spans="1:40" s="19" customFormat="1" ht="9" hidden="1" customHeight="1">
      <c r="A279" s="349">
        <v>226</v>
      </c>
      <c r="B279" s="68" t="s">
        <v>902</v>
      </c>
      <c r="C279" s="348">
        <v>473.3</v>
      </c>
      <c r="D279" s="343"/>
      <c r="E279" s="348"/>
      <c r="F279" s="348"/>
      <c r="G279" s="117">
        <f t="shared" si="130"/>
        <v>1779660.12</v>
      </c>
      <c r="H279" s="348">
        <f t="shared" si="131"/>
        <v>0</v>
      </c>
      <c r="I279" s="129">
        <v>0</v>
      </c>
      <c r="J279" s="129">
        <v>0</v>
      </c>
      <c r="K279" s="129">
        <v>0</v>
      </c>
      <c r="L279" s="129">
        <v>0</v>
      </c>
      <c r="M279" s="129">
        <v>0</v>
      </c>
      <c r="N279" s="348">
        <v>0</v>
      </c>
      <c r="O279" s="348">
        <v>0</v>
      </c>
      <c r="P279" s="348">
        <v>0</v>
      </c>
      <c r="Q279" s="348">
        <v>0</v>
      </c>
      <c r="R279" s="348">
        <v>0</v>
      </c>
      <c r="S279" s="348">
        <v>0</v>
      </c>
      <c r="T279" s="44">
        <v>0</v>
      </c>
      <c r="U279" s="348">
        <v>0</v>
      </c>
      <c r="V279" s="348" t="s">
        <v>998</v>
      </c>
      <c r="W279" s="16">
        <v>522</v>
      </c>
      <c r="X279" s="348">
        <v>1703946.68</v>
      </c>
      <c r="Y279" s="351">
        <v>0</v>
      </c>
      <c r="Z279" s="351">
        <v>0</v>
      </c>
      <c r="AA279" s="351">
        <v>0</v>
      </c>
      <c r="AB279" s="351">
        <v>0</v>
      </c>
      <c r="AC279" s="351">
        <v>0</v>
      </c>
      <c r="AD279" s="351">
        <v>0</v>
      </c>
      <c r="AE279" s="351">
        <v>0</v>
      </c>
      <c r="AF279" s="351">
        <v>0</v>
      </c>
      <c r="AG279" s="351">
        <v>0</v>
      </c>
      <c r="AH279" s="351">
        <v>0</v>
      </c>
      <c r="AI279" s="351">
        <v>0</v>
      </c>
      <c r="AJ279" s="351">
        <v>50391.22</v>
      </c>
      <c r="AK279" s="351">
        <v>25322.22</v>
      </c>
      <c r="AL279" s="351">
        <v>0</v>
      </c>
      <c r="AM279" s="352"/>
      <c r="AN279" s="352"/>
    </row>
    <row r="280" spans="1:40" s="19" customFormat="1" ht="9" hidden="1" customHeight="1">
      <c r="A280" s="349">
        <v>227</v>
      </c>
      <c r="B280" s="68" t="s">
        <v>903</v>
      </c>
      <c r="C280" s="348">
        <v>638.6</v>
      </c>
      <c r="D280" s="343"/>
      <c r="E280" s="348"/>
      <c r="F280" s="348"/>
      <c r="G280" s="117">
        <f t="shared" si="130"/>
        <v>2010692.69</v>
      </c>
      <c r="H280" s="348">
        <f t="shared" ref="H280:H282" si="132">I280+K280+M280+O280+Q280+S280</f>
        <v>0</v>
      </c>
      <c r="I280" s="129">
        <v>0</v>
      </c>
      <c r="J280" s="129">
        <v>0</v>
      </c>
      <c r="K280" s="129">
        <v>0</v>
      </c>
      <c r="L280" s="129">
        <v>0</v>
      </c>
      <c r="M280" s="129">
        <v>0</v>
      </c>
      <c r="N280" s="348">
        <v>0</v>
      </c>
      <c r="O280" s="348">
        <v>0</v>
      </c>
      <c r="P280" s="348">
        <v>0</v>
      </c>
      <c r="Q280" s="348">
        <v>0</v>
      </c>
      <c r="R280" s="348">
        <v>0</v>
      </c>
      <c r="S280" s="348">
        <v>0</v>
      </c>
      <c r="T280" s="44">
        <v>0</v>
      </c>
      <c r="U280" s="348">
        <v>0</v>
      </c>
      <c r="V280" s="348" t="s">
        <v>998</v>
      </c>
      <c r="W280" s="16">
        <v>640</v>
      </c>
      <c r="X280" s="348">
        <v>1942521.59</v>
      </c>
      <c r="Y280" s="351">
        <v>0</v>
      </c>
      <c r="Z280" s="351">
        <v>0</v>
      </c>
      <c r="AA280" s="351">
        <v>0</v>
      </c>
      <c r="AB280" s="351">
        <v>0</v>
      </c>
      <c r="AC280" s="351">
        <v>0</v>
      </c>
      <c r="AD280" s="351">
        <v>0</v>
      </c>
      <c r="AE280" s="351">
        <v>0</v>
      </c>
      <c r="AF280" s="351">
        <v>0</v>
      </c>
      <c r="AG280" s="351">
        <v>0</v>
      </c>
      <c r="AH280" s="351">
        <v>0</v>
      </c>
      <c r="AI280" s="351">
        <v>0</v>
      </c>
      <c r="AJ280" s="351">
        <v>45371.4</v>
      </c>
      <c r="AK280" s="351">
        <v>22799.7</v>
      </c>
      <c r="AL280" s="351">
        <v>0</v>
      </c>
      <c r="AM280" s="352"/>
      <c r="AN280" s="352"/>
    </row>
    <row r="281" spans="1:40" s="19" customFormat="1" ht="9" hidden="1" customHeight="1">
      <c r="A281" s="349">
        <v>228</v>
      </c>
      <c r="B281" s="68" t="s">
        <v>904</v>
      </c>
      <c r="C281" s="348">
        <v>263.39999999999998</v>
      </c>
      <c r="D281" s="343"/>
      <c r="E281" s="348"/>
      <c r="F281" s="348"/>
      <c r="G281" s="117">
        <f t="shared" si="130"/>
        <v>1066631.6100000001</v>
      </c>
      <c r="H281" s="348">
        <f t="shared" si="132"/>
        <v>0</v>
      </c>
      <c r="I281" s="129">
        <v>0</v>
      </c>
      <c r="J281" s="129">
        <v>0</v>
      </c>
      <c r="K281" s="129">
        <v>0</v>
      </c>
      <c r="L281" s="129">
        <v>0</v>
      </c>
      <c r="M281" s="129">
        <v>0</v>
      </c>
      <c r="N281" s="348">
        <v>0</v>
      </c>
      <c r="O281" s="348">
        <v>0</v>
      </c>
      <c r="P281" s="348">
        <v>0</v>
      </c>
      <c r="Q281" s="348">
        <v>0</v>
      </c>
      <c r="R281" s="348">
        <v>0</v>
      </c>
      <c r="S281" s="348">
        <v>0</v>
      </c>
      <c r="T281" s="44">
        <v>0</v>
      </c>
      <c r="U281" s="348">
        <v>0</v>
      </c>
      <c r="V281" s="348" t="s">
        <v>998</v>
      </c>
      <c r="W281" s="16">
        <v>291</v>
      </c>
      <c r="X281" s="348">
        <v>1024423.54</v>
      </c>
      <c r="Y281" s="351">
        <v>0</v>
      </c>
      <c r="Z281" s="351">
        <v>0</v>
      </c>
      <c r="AA281" s="351">
        <v>0</v>
      </c>
      <c r="AB281" s="351">
        <v>0</v>
      </c>
      <c r="AC281" s="351">
        <v>0</v>
      </c>
      <c r="AD281" s="351">
        <v>0</v>
      </c>
      <c r="AE281" s="351">
        <v>0</v>
      </c>
      <c r="AF281" s="351">
        <v>0</v>
      </c>
      <c r="AG281" s="351">
        <v>0</v>
      </c>
      <c r="AH281" s="351">
        <v>0</v>
      </c>
      <c r="AI281" s="351">
        <v>0</v>
      </c>
      <c r="AJ281" s="351">
        <v>28091.66</v>
      </c>
      <c r="AK281" s="351">
        <v>14116.41</v>
      </c>
      <c r="AL281" s="351">
        <v>0</v>
      </c>
      <c r="AM281" s="352"/>
      <c r="AN281" s="352"/>
    </row>
    <row r="282" spans="1:40" s="19" customFormat="1" ht="9" hidden="1" customHeight="1">
      <c r="A282" s="349">
        <v>229</v>
      </c>
      <c r="B282" s="68" t="s">
        <v>905</v>
      </c>
      <c r="C282" s="348">
        <v>382.9</v>
      </c>
      <c r="D282" s="343"/>
      <c r="E282" s="348"/>
      <c r="F282" s="348"/>
      <c r="G282" s="117">
        <f t="shared" si="130"/>
        <v>1273910.26</v>
      </c>
      <c r="H282" s="348">
        <f t="shared" si="132"/>
        <v>0</v>
      </c>
      <c r="I282" s="129">
        <v>0</v>
      </c>
      <c r="J282" s="129">
        <v>0</v>
      </c>
      <c r="K282" s="129">
        <v>0</v>
      </c>
      <c r="L282" s="129">
        <v>0</v>
      </c>
      <c r="M282" s="129">
        <v>0</v>
      </c>
      <c r="N282" s="348">
        <v>0</v>
      </c>
      <c r="O282" s="348">
        <v>0</v>
      </c>
      <c r="P282" s="348">
        <v>0</v>
      </c>
      <c r="Q282" s="348">
        <v>0</v>
      </c>
      <c r="R282" s="348">
        <v>0</v>
      </c>
      <c r="S282" s="348">
        <v>0</v>
      </c>
      <c r="T282" s="44">
        <v>0</v>
      </c>
      <c r="U282" s="348">
        <v>0</v>
      </c>
      <c r="V282" s="348" t="s">
        <v>998</v>
      </c>
      <c r="W282" s="16">
        <v>386.7</v>
      </c>
      <c r="X282" s="348">
        <v>1221047.2</v>
      </c>
      <c r="Y282" s="351">
        <v>0</v>
      </c>
      <c r="Z282" s="351">
        <v>0</v>
      </c>
      <c r="AA282" s="351">
        <v>0</v>
      </c>
      <c r="AB282" s="351">
        <v>0</v>
      </c>
      <c r="AC282" s="351">
        <v>0</v>
      </c>
      <c r="AD282" s="351">
        <v>0</v>
      </c>
      <c r="AE282" s="351">
        <v>0</v>
      </c>
      <c r="AF282" s="351">
        <v>0</v>
      </c>
      <c r="AG282" s="351">
        <v>0</v>
      </c>
      <c r="AH282" s="351">
        <v>0</v>
      </c>
      <c r="AI282" s="351">
        <v>0</v>
      </c>
      <c r="AJ282" s="351">
        <v>35183.11</v>
      </c>
      <c r="AK282" s="351">
        <v>17679.95</v>
      </c>
      <c r="AL282" s="351">
        <v>0</v>
      </c>
      <c r="AM282" s="352"/>
      <c r="AN282" s="352"/>
    </row>
    <row r="283" spans="1:40" s="19" customFormat="1" ht="24" hidden="1" customHeight="1">
      <c r="A283" s="599" t="s">
        <v>424</v>
      </c>
      <c r="B283" s="599"/>
      <c r="C283" s="348">
        <f>SUM(C277:C282)</f>
        <v>2617.3000000000002</v>
      </c>
      <c r="D283" s="248"/>
      <c r="E283" s="225"/>
      <c r="F283" s="225"/>
      <c r="G283" s="348">
        <f>ROUND(SUM(G277:G282),2)</f>
        <v>9483542.9600000009</v>
      </c>
      <c r="H283" s="348">
        <f t="shared" ref="H283:AL283" si="133">SUM(H277:H282)</f>
        <v>0</v>
      </c>
      <c r="I283" s="348">
        <f t="shared" si="133"/>
        <v>0</v>
      </c>
      <c r="J283" s="348">
        <f t="shared" si="133"/>
        <v>0</v>
      </c>
      <c r="K283" s="348">
        <f t="shared" si="133"/>
        <v>0</v>
      </c>
      <c r="L283" s="348">
        <f t="shared" si="133"/>
        <v>0</v>
      </c>
      <c r="M283" s="348">
        <f t="shared" si="133"/>
        <v>0</v>
      </c>
      <c r="N283" s="348">
        <f t="shared" si="133"/>
        <v>0</v>
      </c>
      <c r="O283" s="348">
        <f t="shared" si="133"/>
        <v>0</v>
      </c>
      <c r="P283" s="348">
        <f t="shared" si="133"/>
        <v>0</v>
      </c>
      <c r="Q283" s="348">
        <f t="shared" si="133"/>
        <v>0</v>
      </c>
      <c r="R283" s="348">
        <f t="shared" si="133"/>
        <v>0</v>
      </c>
      <c r="S283" s="348">
        <f t="shared" si="133"/>
        <v>0</v>
      </c>
      <c r="T283" s="44">
        <f t="shared" si="133"/>
        <v>0</v>
      </c>
      <c r="U283" s="348">
        <f t="shared" si="133"/>
        <v>0</v>
      </c>
      <c r="V283" s="225" t="s">
        <v>387</v>
      </c>
      <c r="W283" s="348">
        <f t="shared" si="133"/>
        <v>2659.3999999999996</v>
      </c>
      <c r="X283" s="348">
        <f t="shared" si="133"/>
        <v>9129356.6399999987</v>
      </c>
      <c r="Y283" s="348">
        <f t="shared" si="133"/>
        <v>0</v>
      </c>
      <c r="Z283" s="348">
        <f t="shared" si="133"/>
        <v>0</v>
      </c>
      <c r="AA283" s="348">
        <f t="shared" si="133"/>
        <v>0</v>
      </c>
      <c r="AB283" s="348">
        <f t="shared" si="133"/>
        <v>0</v>
      </c>
      <c r="AC283" s="348">
        <f t="shared" si="133"/>
        <v>0</v>
      </c>
      <c r="AD283" s="348">
        <f t="shared" si="133"/>
        <v>0</v>
      </c>
      <c r="AE283" s="348">
        <f t="shared" si="133"/>
        <v>0</v>
      </c>
      <c r="AF283" s="348">
        <f t="shared" si="133"/>
        <v>0</v>
      </c>
      <c r="AG283" s="348">
        <f t="shared" si="133"/>
        <v>0</v>
      </c>
      <c r="AH283" s="348">
        <f t="shared" si="133"/>
        <v>0</v>
      </c>
      <c r="AI283" s="348">
        <f t="shared" si="133"/>
        <v>0</v>
      </c>
      <c r="AJ283" s="348">
        <f t="shared" si="133"/>
        <v>232549.44</v>
      </c>
      <c r="AK283" s="348">
        <f t="shared" si="133"/>
        <v>121636.88</v>
      </c>
      <c r="AL283" s="348">
        <f t="shared" si="133"/>
        <v>0</v>
      </c>
      <c r="AM283" s="352"/>
      <c r="AN283" s="352"/>
    </row>
    <row r="284" spans="1:40" s="19" customFormat="1" ht="12.75" hidden="1" customHeight="1">
      <c r="A284" s="519" t="s">
        <v>1067</v>
      </c>
      <c r="B284" s="520"/>
      <c r="C284" s="520"/>
      <c r="D284" s="520"/>
      <c r="E284" s="520"/>
      <c r="F284" s="520"/>
      <c r="G284" s="520"/>
      <c r="H284" s="520"/>
      <c r="I284" s="520"/>
      <c r="J284" s="520"/>
      <c r="K284" s="520"/>
      <c r="L284" s="520"/>
      <c r="M284" s="520"/>
      <c r="N284" s="520"/>
      <c r="O284" s="520"/>
      <c r="P284" s="520"/>
      <c r="Q284" s="520"/>
      <c r="R284" s="520"/>
      <c r="S284" s="520"/>
      <c r="T284" s="520"/>
      <c r="U284" s="520"/>
      <c r="V284" s="520"/>
      <c r="W284" s="520"/>
      <c r="X284" s="520"/>
      <c r="Y284" s="520"/>
      <c r="Z284" s="520"/>
      <c r="AA284" s="520"/>
      <c r="AB284" s="520"/>
      <c r="AC284" s="520"/>
      <c r="AD284" s="520"/>
      <c r="AE284" s="520"/>
      <c r="AF284" s="520"/>
      <c r="AG284" s="520"/>
      <c r="AH284" s="520"/>
      <c r="AI284" s="520"/>
      <c r="AJ284" s="520"/>
      <c r="AK284" s="520"/>
      <c r="AL284" s="521"/>
      <c r="AM284" s="352"/>
      <c r="AN284" s="352"/>
    </row>
    <row r="285" spans="1:40" s="19" customFormat="1" ht="9" hidden="1" customHeight="1">
      <c r="A285" s="349">
        <v>230</v>
      </c>
      <c r="B285" s="68" t="s">
        <v>912</v>
      </c>
      <c r="C285" s="348">
        <v>909.2</v>
      </c>
      <c r="D285" s="343"/>
      <c r="E285" s="348"/>
      <c r="F285" s="348"/>
      <c r="G285" s="117">
        <f t="shared" ref="G285:G287" si="134">ROUND(H285+U285+X285+Z285+AB285+AD285+AF285+AH285+AI285+AJ285+AK285+AL285,2)</f>
        <v>2707881.57</v>
      </c>
      <c r="H285" s="348">
        <f t="shared" ref="H285:H287" si="135">I285+K285+M285+O285+Q285+S285</f>
        <v>0</v>
      </c>
      <c r="I285" s="129">
        <v>0</v>
      </c>
      <c r="J285" s="129">
        <v>0</v>
      </c>
      <c r="K285" s="129">
        <v>0</v>
      </c>
      <c r="L285" s="129">
        <v>0</v>
      </c>
      <c r="M285" s="129">
        <v>0</v>
      </c>
      <c r="N285" s="348">
        <v>0</v>
      </c>
      <c r="O285" s="348">
        <v>0</v>
      </c>
      <c r="P285" s="348">
        <v>0</v>
      </c>
      <c r="Q285" s="348">
        <v>0</v>
      </c>
      <c r="R285" s="348">
        <v>0</v>
      </c>
      <c r="S285" s="348">
        <v>0</v>
      </c>
      <c r="T285" s="44">
        <v>0</v>
      </c>
      <c r="U285" s="348">
        <v>0</v>
      </c>
      <c r="V285" s="348" t="s">
        <v>998</v>
      </c>
      <c r="W285" s="351">
        <v>770</v>
      </c>
      <c r="X285" s="348">
        <v>2585249</v>
      </c>
      <c r="Y285" s="351">
        <v>0</v>
      </c>
      <c r="Z285" s="351">
        <v>0</v>
      </c>
      <c r="AA285" s="351">
        <v>0</v>
      </c>
      <c r="AB285" s="351">
        <v>0</v>
      </c>
      <c r="AC285" s="351">
        <v>0</v>
      </c>
      <c r="AD285" s="351">
        <v>0</v>
      </c>
      <c r="AE285" s="351">
        <v>0</v>
      </c>
      <c r="AF285" s="351">
        <v>0</v>
      </c>
      <c r="AG285" s="351">
        <v>0</v>
      </c>
      <c r="AH285" s="351">
        <v>0</v>
      </c>
      <c r="AI285" s="351">
        <v>0</v>
      </c>
      <c r="AJ285" s="351">
        <v>81618.34</v>
      </c>
      <c r="AK285" s="351">
        <v>41014.230000000003</v>
      </c>
      <c r="AL285" s="351">
        <v>0</v>
      </c>
      <c r="AM285" s="352"/>
      <c r="AN285" s="352"/>
    </row>
    <row r="286" spans="1:40" s="19" customFormat="1" ht="9" hidden="1" customHeight="1">
      <c r="A286" s="349">
        <v>231</v>
      </c>
      <c r="B286" s="68" t="s">
        <v>913</v>
      </c>
      <c r="C286" s="348">
        <f>444.5+117.9</f>
        <v>562.4</v>
      </c>
      <c r="D286" s="343"/>
      <c r="E286" s="348"/>
      <c r="F286" s="348"/>
      <c r="G286" s="117">
        <f t="shared" si="134"/>
        <v>1670706.42</v>
      </c>
      <c r="H286" s="348">
        <f t="shared" si="135"/>
        <v>0</v>
      </c>
      <c r="I286" s="129">
        <v>0</v>
      </c>
      <c r="J286" s="129">
        <v>0</v>
      </c>
      <c r="K286" s="129">
        <v>0</v>
      </c>
      <c r="L286" s="129">
        <v>0</v>
      </c>
      <c r="M286" s="129">
        <v>0</v>
      </c>
      <c r="N286" s="348">
        <v>0</v>
      </c>
      <c r="O286" s="348">
        <v>0</v>
      </c>
      <c r="P286" s="348">
        <v>0</v>
      </c>
      <c r="Q286" s="348">
        <v>0</v>
      </c>
      <c r="R286" s="348">
        <v>0</v>
      </c>
      <c r="S286" s="348">
        <v>0</v>
      </c>
      <c r="T286" s="44">
        <v>0</v>
      </c>
      <c r="U286" s="348">
        <v>0</v>
      </c>
      <c r="V286" s="348" t="s">
        <v>998</v>
      </c>
      <c r="W286" s="351">
        <v>415</v>
      </c>
      <c r="X286" s="348">
        <v>1603935</v>
      </c>
      <c r="Y286" s="351">
        <v>0</v>
      </c>
      <c r="Z286" s="351">
        <v>0</v>
      </c>
      <c r="AA286" s="351">
        <v>0</v>
      </c>
      <c r="AB286" s="351">
        <v>0</v>
      </c>
      <c r="AC286" s="351">
        <v>0</v>
      </c>
      <c r="AD286" s="351">
        <v>0</v>
      </c>
      <c r="AE286" s="351">
        <v>0</v>
      </c>
      <c r="AF286" s="351">
        <v>0</v>
      </c>
      <c r="AG286" s="351">
        <v>0</v>
      </c>
      <c r="AH286" s="351">
        <v>0</v>
      </c>
      <c r="AI286" s="351">
        <v>0</v>
      </c>
      <c r="AJ286" s="351">
        <v>44439.839999999997</v>
      </c>
      <c r="AK286" s="351">
        <v>22331.58</v>
      </c>
      <c r="AL286" s="351">
        <v>0</v>
      </c>
      <c r="AM286" s="352"/>
      <c r="AN286" s="352"/>
    </row>
    <row r="287" spans="1:40" s="19" customFormat="1" ht="9" hidden="1" customHeight="1">
      <c r="A287" s="349">
        <v>232</v>
      </c>
      <c r="B287" s="68" t="s">
        <v>914</v>
      </c>
      <c r="C287" s="348">
        <v>626.20000000000005</v>
      </c>
      <c r="D287" s="343"/>
      <c r="E287" s="348"/>
      <c r="F287" s="348"/>
      <c r="G287" s="117">
        <f t="shared" si="134"/>
        <v>1877508.13</v>
      </c>
      <c r="H287" s="348">
        <f t="shared" si="135"/>
        <v>0</v>
      </c>
      <c r="I287" s="129">
        <v>0</v>
      </c>
      <c r="J287" s="129">
        <v>0</v>
      </c>
      <c r="K287" s="129">
        <v>0</v>
      </c>
      <c r="L287" s="129">
        <v>0</v>
      </c>
      <c r="M287" s="129">
        <v>0</v>
      </c>
      <c r="N287" s="348">
        <v>0</v>
      </c>
      <c r="O287" s="348">
        <v>0</v>
      </c>
      <c r="P287" s="348">
        <v>0</v>
      </c>
      <c r="Q287" s="348">
        <v>0</v>
      </c>
      <c r="R287" s="348">
        <v>0</v>
      </c>
      <c r="S287" s="348">
        <v>0</v>
      </c>
      <c r="T287" s="44">
        <v>0</v>
      </c>
      <c r="U287" s="348">
        <v>0</v>
      </c>
      <c r="V287" s="348" t="s">
        <v>998</v>
      </c>
      <c r="W287" s="351">
        <v>500</v>
      </c>
      <c r="X287" s="348">
        <v>1791804</v>
      </c>
      <c r="Y287" s="351">
        <v>0</v>
      </c>
      <c r="Z287" s="351">
        <v>0</v>
      </c>
      <c r="AA287" s="351">
        <v>0</v>
      </c>
      <c r="AB287" s="351">
        <v>0</v>
      </c>
      <c r="AC287" s="351">
        <v>0</v>
      </c>
      <c r="AD287" s="351">
        <v>0</v>
      </c>
      <c r="AE287" s="351">
        <v>0</v>
      </c>
      <c r="AF287" s="351">
        <v>0</v>
      </c>
      <c r="AG287" s="351">
        <v>0</v>
      </c>
      <c r="AH287" s="351">
        <v>0</v>
      </c>
      <c r="AI287" s="351">
        <v>0</v>
      </c>
      <c r="AJ287" s="351">
        <v>57040.54</v>
      </c>
      <c r="AK287" s="351">
        <v>28663.59</v>
      </c>
      <c r="AL287" s="351">
        <v>0</v>
      </c>
      <c r="AM287" s="352"/>
      <c r="AN287" s="352"/>
    </row>
    <row r="288" spans="1:40" s="19" customFormat="1" ht="35.25" hidden="1" customHeight="1">
      <c r="A288" s="599" t="s">
        <v>996</v>
      </c>
      <c r="B288" s="599"/>
      <c r="C288" s="348">
        <f>SUM(C285:C287)</f>
        <v>2097.8000000000002</v>
      </c>
      <c r="D288" s="248"/>
      <c r="E288" s="225"/>
      <c r="F288" s="225"/>
      <c r="G288" s="348">
        <f>ROUND(SUM(G285:G287),2)</f>
        <v>6256096.1200000001</v>
      </c>
      <c r="H288" s="348">
        <f t="shared" ref="H288:AL288" si="136">SUM(H285:H287)</f>
        <v>0</v>
      </c>
      <c r="I288" s="348">
        <f t="shared" si="136"/>
        <v>0</v>
      </c>
      <c r="J288" s="348">
        <f t="shared" si="136"/>
        <v>0</v>
      </c>
      <c r="K288" s="348">
        <f t="shared" si="136"/>
        <v>0</v>
      </c>
      <c r="L288" s="348">
        <f t="shared" si="136"/>
        <v>0</v>
      </c>
      <c r="M288" s="348">
        <f t="shared" si="136"/>
        <v>0</v>
      </c>
      <c r="N288" s="348">
        <f t="shared" si="136"/>
        <v>0</v>
      </c>
      <c r="O288" s="348">
        <f t="shared" si="136"/>
        <v>0</v>
      </c>
      <c r="P288" s="348">
        <f t="shared" si="136"/>
        <v>0</v>
      </c>
      <c r="Q288" s="348">
        <f t="shared" si="136"/>
        <v>0</v>
      </c>
      <c r="R288" s="348">
        <f t="shared" si="136"/>
        <v>0</v>
      </c>
      <c r="S288" s="348">
        <f t="shared" si="136"/>
        <v>0</v>
      </c>
      <c r="T288" s="44">
        <f t="shared" si="136"/>
        <v>0</v>
      </c>
      <c r="U288" s="348">
        <f t="shared" si="136"/>
        <v>0</v>
      </c>
      <c r="V288" s="225" t="s">
        <v>387</v>
      </c>
      <c r="W288" s="348">
        <f t="shared" si="136"/>
        <v>1685</v>
      </c>
      <c r="X288" s="348">
        <f t="shared" si="136"/>
        <v>5980988</v>
      </c>
      <c r="Y288" s="348">
        <f t="shared" si="136"/>
        <v>0</v>
      </c>
      <c r="Z288" s="348">
        <f t="shared" si="136"/>
        <v>0</v>
      </c>
      <c r="AA288" s="348">
        <f t="shared" si="136"/>
        <v>0</v>
      </c>
      <c r="AB288" s="348">
        <f t="shared" si="136"/>
        <v>0</v>
      </c>
      <c r="AC288" s="348">
        <f t="shared" si="136"/>
        <v>0</v>
      </c>
      <c r="AD288" s="348">
        <f t="shared" si="136"/>
        <v>0</v>
      </c>
      <c r="AE288" s="348">
        <f t="shared" si="136"/>
        <v>0</v>
      </c>
      <c r="AF288" s="348">
        <f t="shared" si="136"/>
        <v>0</v>
      </c>
      <c r="AG288" s="348">
        <f t="shared" si="136"/>
        <v>0</v>
      </c>
      <c r="AH288" s="348">
        <f t="shared" si="136"/>
        <v>0</v>
      </c>
      <c r="AI288" s="348">
        <f t="shared" si="136"/>
        <v>0</v>
      </c>
      <c r="AJ288" s="348">
        <f t="shared" si="136"/>
        <v>183098.72</v>
      </c>
      <c r="AK288" s="348">
        <f t="shared" si="136"/>
        <v>92009.400000000009</v>
      </c>
      <c r="AL288" s="348">
        <f t="shared" si="136"/>
        <v>0</v>
      </c>
      <c r="AM288" s="352"/>
      <c r="AN288" s="352"/>
    </row>
    <row r="289" spans="1:40" s="19" customFormat="1" ht="12.75" hidden="1" customHeight="1">
      <c r="A289" s="519" t="s">
        <v>421</v>
      </c>
      <c r="B289" s="520"/>
      <c r="C289" s="520"/>
      <c r="D289" s="520"/>
      <c r="E289" s="520"/>
      <c r="F289" s="520"/>
      <c r="G289" s="520"/>
      <c r="H289" s="520"/>
      <c r="I289" s="520"/>
      <c r="J289" s="520"/>
      <c r="K289" s="520"/>
      <c r="L289" s="520"/>
      <c r="M289" s="520"/>
      <c r="N289" s="520"/>
      <c r="O289" s="520"/>
      <c r="P289" s="520"/>
      <c r="Q289" s="520"/>
      <c r="R289" s="520"/>
      <c r="S289" s="520"/>
      <c r="T289" s="520"/>
      <c r="U289" s="520"/>
      <c r="V289" s="520"/>
      <c r="W289" s="520"/>
      <c r="X289" s="520"/>
      <c r="Y289" s="520"/>
      <c r="Z289" s="520"/>
      <c r="AA289" s="520"/>
      <c r="AB289" s="520"/>
      <c r="AC289" s="520"/>
      <c r="AD289" s="520"/>
      <c r="AE289" s="520"/>
      <c r="AF289" s="520"/>
      <c r="AG289" s="520"/>
      <c r="AH289" s="520"/>
      <c r="AI289" s="520"/>
      <c r="AJ289" s="520"/>
      <c r="AK289" s="520"/>
      <c r="AL289" s="521"/>
      <c r="AM289" s="352"/>
      <c r="AN289" s="352"/>
    </row>
    <row r="290" spans="1:40" s="19" customFormat="1" ht="9" hidden="1" customHeight="1">
      <c r="A290" s="349">
        <v>233</v>
      </c>
      <c r="B290" s="68" t="s">
        <v>917</v>
      </c>
      <c r="C290" s="348">
        <v>365</v>
      </c>
      <c r="D290" s="343"/>
      <c r="E290" s="348"/>
      <c r="F290" s="348"/>
      <c r="G290" s="117">
        <f>ROUND(H290+U290+X290+Z290+AB290+AD290+AF290+AH290+AI290+AJ290+AK290+AL290,2)</f>
        <v>1293125.78</v>
      </c>
      <c r="H290" s="348">
        <f t="shared" ref="H290" si="137">I290+K290+M290+O290+Q290+S290</f>
        <v>0</v>
      </c>
      <c r="I290" s="129">
        <v>0</v>
      </c>
      <c r="J290" s="129">
        <v>0</v>
      </c>
      <c r="K290" s="129">
        <v>0</v>
      </c>
      <c r="L290" s="129">
        <v>0</v>
      </c>
      <c r="M290" s="129">
        <v>0</v>
      </c>
      <c r="N290" s="348">
        <v>0</v>
      </c>
      <c r="O290" s="348">
        <v>0</v>
      </c>
      <c r="P290" s="348">
        <v>0</v>
      </c>
      <c r="Q290" s="348">
        <v>0</v>
      </c>
      <c r="R290" s="348">
        <v>0</v>
      </c>
      <c r="S290" s="348">
        <v>0</v>
      </c>
      <c r="T290" s="44">
        <v>0</v>
      </c>
      <c r="U290" s="348">
        <v>0</v>
      </c>
      <c r="V290" s="348" t="s">
        <v>998</v>
      </c>
      <c r="W290" s="351">
        <v>402</v>
      </c>
      <c r="X290" s="348">
        <v>1234817.73</v>
      </c>
      <c r="Y290" s="351">
        <v>0</v>
      </c>
      <c r="Z290" s="351">
        <v>0</v>
      </c>
      <c r="AA290" s="351">
        <v>0</v>
      </c>
      <c r="AB290" s="351">
        <v>0</v>
      </c>
      <c r="AC290" s="351">
        <v>0</v>
      </c>
      <c r="AD290" s="351">
        <v>0</v>
      </c>
      <c r="AE290" s="351">
        <v>0</v>
      </c>
      <c r="AF290" s="351">
        <v>0</v>
      </c>
      <c r="AG290" s="351">
        <v>0</v>
      </c>
      <c r="AH290" s="351">
        <v>0</v>
      </c>
      <c r="AI290" s="351">
        <v>0</v>
      </c>
      <c r="AJ290" s="351">
        <v>38807.03</v>
      </c>
      <c r="AK290" s="351">
        <v>19501.02</v>
      </c>
      <c r="AL290" s="351">
        <v>0</v>
      </c>
      <c r="AM290" s="352"/>
      <c r="AN290" s="352"/>
    </row>
    <row r="291" spans="1:40" s="19" customFormat="1" ht="30.75" hidden="1" customHeight="1">
      <c r="A291" s="599" t="s">
        <v>420</v>
      </c>
      <c r="B291" s="599"/>
      <c r="C291" s="348">
        <f>SUM(C290)</f>
        <v>365</v>
      </c>
      <c r="D291" s="248"/>
      <c r="E291" s="225"/>
      <c r="F291" s="225"/>
      <c r="G291" s="348">
        <f>ROUND(SUM(G290),2)</f>
        <v>1293125.78</v>
      </c>
      <c r="H291" s="348">
        <f t="shared" ref="H291:AL291" si="138">SUM(H290)</f>
        <v>0</v>
      </c>
      <c r="I291" s="348">
        <f t="shared" si="138"/>
        <v>0</v>
      </c>
      <c r="J291" s="348">
        <f t="shared" si="138"/>
        <v>0</v>
      </c>
      <c r="K291" s="348">
        <f t="shared" si="138"/>
        <v>0</v>
      </c>
      <c r="L291" s="348">
        <f t="shared" si="138"/>
        <v>0</v>
      </c>
      <c r="M291" s="348">
        <f t="shared" si="138"/>
        <v>0</v>
      </c>
      <c r="N291" s="348">
        <f t="shared" si="138"/>
        <v>0</v>
      </c>
      <c r="O291" s="348">
        <f t="shared" si="138"/>
        <v>0</v>
      </c>
      <c r="P291" s="348">
        <f t="shared" si="138"/>
        <v>0</v>
      </c>
      <c r="Q291" s="348">
        <f t="shared" si="138"/>
        <v>0</v>
      </c>
      <c r="R291" s="348">
        <f t="shared" si="138"/>
        <v>0</v>
      </c>
      <c r="S291" s="348">
        <f t="shared" si="138"/>
        <v>0</v>
      </c>
      <c r="T291" s="44">
        <f t="shared" si="138"/>
        <v>0</v>
      </c>
      <c r="U291" s="348">
        <f t="shared" si="138"/>
        <v>0</v>
      </c>
      <c r="V291" s="225" t="s">
        <v>387</v>
      </c>
      <c r="W291" s="348">
        <f t="shared" si="138"/>
        <v>402</v>
      </c>
      <c r="X291" s="348">
        <f t="shared" si="138"/>
        <v>1234817.73</v>
      </c>
      <c r="Y291" s="348">
        <f t="shared" si="138"/>
        <v>0</v>
      </c>
      <c r="Z291" s="348">
        <f t="shared" si="138"/>
        <v>0</v>
      </c>
      <c r="AA291" s="348">
        <f t="shared" si="138"/>
        <v>0</v>
      </c>
      <c r="AB291" s="348">
        <f t="shared" si="138"/>
        <v>0</v>
      </c>
      <c r="AC291" s="348">
        <f t="shared" si="138"/>
        <v>0</v>
      </c>
      <c r="AD291" s="348">
        <f t="shared" si="138"/>
        <v>0</v>
      </c>
      <c r="AE291" s="348">
        <f t="shared" si="138"/>
        <v>0</v>
      </c>
      <c r="AF291" s="348">
        <f t="shared" si="138"/>
        <v>0</v>
      </c>
      <c r="AG291" s="348">
        <f t="shared" si="138"/>
        <v>0</v>
      </c>
      <c r="AH291" s="348">
        <f t="shared" si="138"/>
        <v>0</v>
      </c>
      <c r="AI291" s="348">
        <f t="shared" si="138"/>
        <v>0</v>
      </c>
      <c r="AJ291" s="348">
        <f t="shared" si="138"/>
        <v>38807.03</v>
      </c>
      <c r="AK291" s="348">
        <f t="shared" si="138"/>
        <v>19501.02</v>
      </c>
      <c r="AL291" s="348">
        <f t="shared" si="138"/>
        <v>0</v>
      </c>
      <c r="AM291" s="352"/>
      <c r="AN291" s="352"/>
    </row>
    <row r="292" spans="1:40" s="19" customFormat="1" ht="13.5" hidden="1" customHeight="1">
      <c r="A292" s="519" t="s">
        <v>349</v>
      </c>
      <c r="B292" s="520"/>
      <c r="C292" s="520"/>
      <c r="D292" s="520"/>
      <c r="E292" s="520"/>
      <c r="F292" s="520"/>
      <c r="G292" s="520"/>
      <c r="H292" s="520"/>
      <c r="I292" s="520"/>
      <c r="J292" s="520"/>
      <c r="K292" s="520"/>
      <c r="L292" s="520"/>
      <c r="M292" s="520"/>
      <c r="N292" s="520"/>
      <c r="O292" s="520"/>
      <c r="P292" s="520"/>
      <c r="Q292" s="520"/>
      <c r="R292" s="520"/>
      <c r="S292" s="520"/>
      <c r="T292" s="520"/>
      <c r="U292" s="520"/>
      <c r="V292" s="520"/>
      <c r="W292" s="520"/>
      <c r="X292" s="520"/>
      <c r="Y292" s="520"/>
      <c r="Z292" s="520"/>
      <c r="AA292" s="520"/>
      <c r="AB292" s="520"/>
      <c r="AC292" s="520"/>
      <c r="AD292" s="520"/>
      <c r="AE292" s="520"/>
      <c r="AF292" s="520"/>
      <c r="AG292" s="520"/>
      <c r="AH292" s="520"/>
      <c r="AI292" s="520"/>
      <c r="AJ292" s="520"/>
      <c r="AK292" s="520"/>
      <c r="AL292" s="521"/>
      <c r="AM292" s="352"/>
      <c r="AN292" s="352"/>
    </row>
    <row r="293" spans="1:40" s="19" customFormat="1" ht="9" hidden="1" customHeight="1">
      <c r="A293" s="349">
        <v>234</v>
      </c>
      <c r="B293" s="68" t="s">
        <v>919</v>
      </c>
      <c r="C293" s="348">
        <v>590.04</v>
      </c>
      <c r="D293" s="343"/>
      <c r="E293" s="348"/>
      <c r="F293" s="348"/>
      <c r="G293" s="117">
        <f>ROUND(H293+U293+X293+Z293+AB293+AD293+AF293+AH293+AI293+AJ293+AK293+AL293,2)</f>
        <v>1803470.32</v>
      </c>
      <c r="H293" s="348">
        <f t="shared" ref="H293" si="139">I293+K293+M293+O293+Q293+S293</f>
        <v>0</v>
      </c>
      <c r="I293" s="129">
        <v>0</v>
      </c>
      <c r="J293" s="129">
        <v>0</v>
      </c>
      <c r="K293" s="129">
        <v>0</v>
      </c>
      <c r="L293" s="129">
        <v>0</v>
      </c>
      <c r="M293" s="129">
        <v>0</v>
      </c>
      <c r="N293" s="348">
        <v>0</v>
      </c>
      <c r="O293" s="348">
        <v>0</v>
      </c>
      <c r="P293" s="348">
        <v>0</v>
      </c>
      <c r="Q293" s="348">
        <v>0</v>
      </c>
      <c r="R293" s="348">
        <v>0</v>
      </c>
      <c r="S293" s="348">
        <v>0</v>
      </c>
      <c r="T293" s="44">
        <v>0</v>
      </c>
      <c r="U293" s="348">
        <v>0</v>
      </c>
      <c r="V293" s="348" t="s">
        <v>998</v>
      </c>
      <c r="W293" s="351">
        <v>589</v>
      </c>
      <c r="X293" s="348">
        <v>1724534.85</v>
      </c>
      <c r="Y293" s="351">
        <v>0</v>
      </c>
      <c r="Z293" s="351">
        <v>0</v>
      </c>
      <c r="AA293" s="351">
        <v>0</v>
      </c>
      <c r="AB293" s="351">
        <v>0</v>
      </c>
      <c r="AC293" s="351">
        <v>0</v>
      </c>
      <c r="AD293" s="351">
        <v>0</v>
      </c>
      <c r="AE293" s="351">
        <v>0</v>
      </c>
      <c r="AF293" s="351">
        <v>0</v>
      </c>
      <c r="AG293" s="351">
        <v>0</v>
      </c>
      <c r="AH293" s="351">
        <v>0</v>
      </c>
      <c r="AI293" s="351">
        <v>0</v>
      </c>
      <c r="AJ293" s="351">
        <v>51527.32</v>
      </c>
      <c r="AK293" s="351">
        <v>27408.15</v>
      </c>
      <c r="AL293" s="351">
        <v>0</v>
      </c>
      <c r="AM293" s="352"/>
      <c r="AN293" s="352"/>
    </row>
    <row r="294" spans="1:40" s="19" customFormat="1" ht="25.5" hidden="1" customHeight="1">
      <c r="A294" s="599" t="s">
        <v>348</v>
      </c>
      <c r="B294" s="599"/>
      <c r="C294" s="348">
        <f>SUM(C293)</f>
        <v>590.04</v>
      </c>
      <c r="D294" s="248"/>
      <c r="E294" s="225"/>
      <c r="F294" s="225"/>
      <c r="G294" s="348">
        <f>ROUND(SUM(G293),2)</f>
        <v>1803470.32</v>
      </c>
      <c r="H294" s="348">
        <f t="shared" ref="H294:AL294" si="140">SUM(H293)</f>
        <v>0</v>
      </c>
      <c r="I294" s="348">
        <f t="shared" si="140"/>
        <v>0</v>
      </c>
      <c r="J294" s="348">
        <f t="shared" si="140"/>
        <v>0</v>
      </c>
      <c r="K294" s="348">
        <f t="shared" si="140"/>
        <v>0</v>
      </c>
      <c r="L294" s="348">
        <f t="shared" si="140"/>
        <v>0</v>
      </c>
      <c r="M294" s="348">
        <f t="shared" si="140"/>
        <v>0</v>
      </c>
      <c r="N294" s="348">
        <f t="shared" si="140"/>
        <v>0</v>
      </c>
      <c r="O294" s="348">
        <f t="shared" si="140"/>
        <v>0</v>
      </c>
      <c r="P294" s="348">
        <f t="shared" si="140"/>
        <v>0</v>
      </c>
      <c r="Q294" s="348">
        <f t="shared" si="140"/>
        <v>0</v>
      </c>
      <c r="R294" s="348">
        <f t="shared" si="140"/>
        <v>0</v>
      </c>
      <c r="S294" s="348">
        <f t="shared" si="140"/>
        <v>0</v>
      </c>
      <c r="T294" s="44">
        <f t="shared" si="140"/>
        <v>0</v>
      </c>
      <c r="U294" s="348">
        <f t="shared" si="140"/>
        <v>0</v>
      </c>
      <c r="V294" s="225" t="s">
        <v>387</v>
      </c>
      <c r="W294" s="348">
        <f t="shared" si="140"/>
        <v>589</v>
      </c>
      <c r="X294" s="348">
        <f t="shared" si="140"/>
        <v>1724534.85</v>
      </c>
      <c r="Y294" s="348">
        <f t="shared" si="140"/>
        <v>0</v>
      </c>
      <c r="Z294" s="348">
        <f t="shared" si="140"/>
        <v>0</v>
      </c>
      <c r="AA294" s="348">
        <f t="shared" si="140"/>
        <v>0</v>
      </c>
      <c r="AB294" s="348">
        <f t="shared" si="140"/>
        <v>0</v>
      </c>
      <c r="AC294" s="348">
        <f t="shared" si="140"/>
        <v>0</v>
      </c>
      <c r="AD294" s="348">
        <f t="shared" si="140"/>
        <v>0</v>
      </c>
      <c r="AE294" s="348">
        <f t="shared" si="140"/>
        <v>0</v>
      </c>
      <c r="AF294" s="348">
        <f t="shared" si="140"/>
        <v>0</v>
      </c>
      <c r="AG294" s="348">
        <f t="shared" si="140"/>
        <v>0</v>
      </c>
      <c r="AH294" s="348">
        <f t="shared" si="140"/>
        <v>0</v>
      </c>
      <c r="AI294" s="348">
        <f t="shared" si="140"/>
        <v>0</v>
      </c>
      <c r="AJ294" s="348">
        <f t="shared" si="140"/>
        <v>51527.32</v>
      </c>
      <c r="AK294" s="348">
        <f t="shared" si="140"/>
        <v>27408.15</v>
      </c>
      <c r="AL294" s="348">
        <f t="shared" si="140"/>
        <v>0</v>
      </c>
      <c r="AM294" s="352"/>
      <c r="AN294" s="352"/>
    </row>
    <row r="295" spans="1:40" s="19" customFormat="1" ht="12.75" hidden="1" customHeight="1">
      <c r="A295" s="519" t="s">
        <v>429</v>
      </c>
      <c r="B295" s="520"/>
      <c r="C295" s="520"/>
      <c r="D295" s="520"/>
      <c r="E295" s="520"/>
      <c r="F295" s="520"/>
      <c r="G295" s="520"/>
      <c r="H295" s="520"/>
      <c r="I295" s="520"/>
      <c r="J295" s="520"/>
      <c r="K295" s="520"/>
      <c r="L295" s="520"/>
      <c r="M295" s="520"/>
      <c r="N295" s="520"/>
      <c r="O295" s="520"/>
      <c r="P295" s="520"/>
      <c r="Q295" s="520"/>
      <c r="R295" s="520"/>
      <c r="S295" s="520"/>
      <c r="T295" s="520"/>
      <c r="U295" s="520"/>
      <c r="V295" s="520"/>
      <c r="W295" s="520"/>
      <c r="X295" s="520"/>
      <c r="Y295" s="520"/>
      <c r="Z295" s="520"/>
      <c r="AA295" s="520"/>
      <c r="AB295" s="520"/>
      <c r="AC295" s="520"/>
      <c r="AD295" s="520"/>
      <c r="AE295" s="520"/>
      <c r="AF295" s="520"/>
      <c r="AG295" s="520"/>
      <c r="AH295" s="520"/>
      <c r="AI295" s="520"/>
      <c r="AJ295" s="520"/>
      <c r="AK295" s="520"/>
      <c r="AL295" s="521"/>
      <c r="AM295" s="352"/>
      <c r="AN295" s="352"/>
    </row>
    <row r="296" spans="1:40" s="19" customFormat="1" ht="9" hidden="1" customHeight="1">
      <c r="A296" s="96">
        <v>235</v>
      </c>
      <c r="B296" s="347" t="s">
        <v>925</v>
      </c>
      <c r="C296" s="101">
        <v>923.2</v>
      </c>
      <c r="D296" s="343"/>
      <c r="E296" s="101"/>
      <c r="F296" s="101"/>
      <c r="G296" s="101">
        <f>H296+AJ296+AK296</f>
        <v>279775.76</v>
      </c>
      <c r="H296" s="348">
        <f t="shared" ref="H296" si="141">I296+K296+M296+O296+Q296+S296</f>
        <v>267185.84999999998</v>
      </c>
      <c r="I296" s="129">
        <v>0</v>
      </c>
      <c r="J296" s="129">
        <v>0</v>
      </c>
      <c r="K296" s="129">
        <v>0</v>
      </c>
      <c r="L296" s="129">
        <v>120.5</v>
      </c>
      <c r="M296" s="117">
        <f>ROUND(0.955*(C296*303.05),2)</f>
        <v>267185.84999999998</v>
      </c>
      <c r="N296" s="348">
        <v>0</v>
      </c>
      <c r="O296" s="348">
        <v>0</v>
      </c>
      <c r="P296" s="348">
        <v>0</v>
      </c>
      <c r="Q296" s="348">
        <v>0</v>
      </c>
      <c r="R296" s="348">
        <v>0</v>
      </c>
      <c r="S296" s="348">
        <v>0</v>
      </c>
      <c r="T296" s="44">
        <v>0</v>
      </c>
      <c r="U296" s="348">
        <v>0</v>
      </c>
      <c r="V296" s="101"/>
      <c r="W296" s="351">
        <v>0</v>
      </c>
      <c r="X296" s="348">
        <v>0</v>
      </c>
      <c r="Y296" s="351">
        <v>0</v>
      </c>
      <c r="Z296" s="351">
        <v>0</v>
      </c>
      <c r="AA296" s="351">
        <v>0</v>
      </c>
      <c r="AB296" s="351">
        <v>0</v>
      </c>
      <c r="AC296" s="351">
        <v>0</v>
      </c>
      <c r="AD296" s="351">
        <v>0</v>
      </c>
      <c r="AE296" s="351">
        <v>0</v>
      </c>
      <c r="AF296" s="351">
        <v>0</v>
      </c>
      <c r="AG296" s="351">
        <v>0</v>
      </c>
      <c r="AH296" s="351">
        <v>0</v>
      </c>
      <c r="AI296" s="351">
        <v>0</v>
      </c>
      <c r="AJ296" s="351">
        <f>ROUND(0.03*303.05*C296,2)</f>
        <v>8393.27</v>
      </c>
      <c r="AK296" s="351">
        <f>ROUND(0.015*303.05*C296,2)</f>
        <v>4196.6400000000003</v>
      </c>
      <c r="AL296" s="351">
        <v>0</v>
      </c>
      <c r="AM296" s="352"/>
      <c r="AN296" s="352"/>
    </row>
    <row r="297" spans="1:40" s="19" customFormat="1" ht="9" hidden="1" customHeight="1">
      <c r="A297" s="96">
        <v>236</v>
      </c>
      <c r="B297" s="347" t="s">
        <v>926</v>
      </c>
      <c r="C297" s="101">
        <v>918.48</v>
      </c>
      <c r="D297" s="343"/>
      <c r="E297" s="101"/>
      <c r="F297" s="101"/>
      <c r="G297" s="101">
        <f>H297+AJ297+AK297</f>
        <v>278345.36</v>
      </c>
      <c r="H297" s="348">
        <f t="shared" ref="H297:H298" si="142">I297+K297+M297+O297+Q297+S297</f>
        <v>265819.82</v>
      </c>
      <c r="I297" s="129">
        <v>0</v>
      </c>
      <c r="J297" s="129">
        <v>0</v>
      </c>
      <c r="K297" s="129">
        <v>0</v>
      </c>
      <c r="L297" s="129">
        <v>120.5</v>
      </c>
      <c r="M297" s="117">
        <f>ROUND(0.955*(C297*303.05),2)</f>
        <v>265819.82</v>
      </c>
      <c r="N297" s="348">
        <v>0</v>
      </c>
      <c r="O297" s="348">
        <v>0</v>
      </c>
      <c r="P297" s="348">
        <v>0</v>
      </c>
      <c r="Q297" s="348">
        <v>0</v>
      </c>
      <c r="R297" s="348">
        <v>0</v>
      </c>
      <c r="S297" s="348">
        <v>0</v>
      </c>
      <c r="T297" s="44">
        <v>0</v>
      </c>
      <c r="U297" s="348">
        <v>0</v>
      </c>
      <c r="V297" s="101"/>
      <c r="W297" s="351">
        <v>0</v>
      </c>
      <c r="X297" s="348">
        <v>0</v>
      </c>
      <c r="Y297" s="351">
        <v>0</v>
      </c>
      <c r="Z297" s="351">
        <v>0</v>
      </c>
      <c r="AA297" s="351">
        <v>0</v>
      </c>
      <c r="AB297" s="351">
        <v>0</v>
      </c>
      <c r="AC297" s="351">
        <v>0</v>
      </c>
      <c r="AD297" s="351">
        <v>0</v>
      </c>
      <c r="AE297" s="351">
        <v>0</v>
      </c>
      <c r="AF297" s="351">
        <v>0</v>
      </c>
      <c r="AG297" s="351">
        <v>0</v>
      </c>
      <c r="AH297" s="351">
        <v>0</v>
      </c>
      <c r="AI297" s="351">
        <v>0</v>
      </c>
      <c r="AJ297" s="351">
        <f>ROUND(0.03*303.05*C297,2)</f>
        <v>8350.36</v>
      </c>
      <c r="AK297" s="351">
        <f>ROUND(0.015*303.05*C297,2)</f>
        <v>4175.18</v>
      </c>
      <c r="AL297" s="351">
        <v>0</v>
      </c>
      <c r="AM297" s="352"/>
      <c r="AN297" s="352"/>
    </row>
    <row r="298" spans="1:40" s="19" customFormat="1" ht="9" hidden="1" customHeight="1">
      <c r="A298" s="96">
        <v>237</v>
      </c>
      <c r="B298" s="347" t="s">
        <v>927</v>
      </c>
      <c r="C298" s="101">
        <v>724.7</v>
      </c>
      <c r="D298" s="343"/>
      <c r="E298" s="101"/>
      <c r="F298" s="101"/>
      <c r="G298" s="101">
        <f>H298+AI298+AJ298+AK298</f>
        <v>234012.88</v>
      </c>
      <c r="H298" s="348">
        <f t="shared" si="142"/>
        <v>0</v>
      </c>
      <c r="I298" s="129">
        <v>0</v>
      </c>
      <c r="J298" s="129">
        <v>0</v>
      </c>
      <c r="K298" s="129">
        <v>0</v>
      </c>
      <c r="L298" s="129">
        <v>0</v>
      </c>
      <c r="M298" s="129">
        <v>0</v>
      </c>
      <c r="N298" s="348">
        <v>0</v>
      </c>
      <c r="O298" s="348">
        <v>0</v>
      </c>
      <c r="P298" s="348">
        <v>0</v>
      </c>
      <c r="Q298" s="348">
        <v>0</v>
      </c>
      <c r="R298" s="348">
        <v>0</v>
      </c>
      <c r="S298" s="348">
        <v>0</v>
      </c>
      <c r="T298" s="44">
        <v>0</v>
      </c>
      <c r="U298" s="348">
        <v>0</v>
      </c>
      <c r="V298" s="101"/>
      <c r="W298" s="351">
        <v>0</v>
      </c>
      <c r="X298" s="348">
        <v>0</v>
      </c>
      <c r="Y298" s="351">
        <v>0</v>
      </c>
      <c r="Z298" s="351">
        <v>0</v>
      </c>
      <c r="AA298" s="351">
        <v>0</v>
      </c>
      <c r="AB298" s="351">
        <v>0</v>
      </c>
      <c r="AC298" s="351">
        <v>0</v>
      </c>
      <c r="AD298" s="351">
        <v>0</v>
      </c>
      <c r="AE298" s="351">
        <v>0</v>
      </c>
      <c r="AF298" s="351">
        <v>0</v>
      </c>
      <c r="AG298" s="351">
        <v>0</v>
      </c>
      <c r="AH298" s="351">
        <v>0</v>
      </c>
      <c r="AI298" s="348">
        <f>ROUND(0.955*C298*322.91,2)</f>
        <v>223482.3</v>
      </c>
      <c r="AJ298" s="351">
        <f>ROUND((0.03*322.91)*C298,2)</f>
        <v>7020.39</v>
      </c>
      <c r="AK298" s="351">
        <f>ROUND((0.015*(322.91)*C298),2)</f>
        <v>3510.19</v>
      </c>
      <c r="AL298" s="351">
        <v>0</v>
      </c>
      <c r="AM298" s="352"/>
      <c r="AN298" s="352"/>
    </row>
    <row r="299" spans="1:40" s="19" customFormat="1" ht="36" hidden="1" customHeight="1">
      <c r="A299" s="608" t="s">
        <v>430</v>
      </c>
      <c r="B299" s="608"/>
      <c r="C299" s="101">
        <f>SUM(C296:C298)</f>
        <v>2566.38</v>
      </c>
      <c r="D299" s="250"/>
      <c r="E299" s="101"/>
      <c r="F299" s="101"/>
      <c r="G299" s="101">
        <f>ROUND(SUM(G296:G298),2)</f>
        <v>792134</v>
      </c>
      <c r="H299" s="101">
        <f t="shared" ref="H299:U299" si="143">SUM(H296:H298)</f>
        <v>533005.66999999993</v>
      </c>
      <c r="I299" s="101">
        <f t="shared" si="143"/>
        <v>0</v>
      </c>
      <c r="J299" s="101">
        <f t="shared" si="143"/>
        <v>0</v>
      </c>
      <c r="K299" s="101">
        <f t="shared" si="143"/>
        <v>0</v>
      </c>
      <c r="L299" s="101">
        <f t="shared" si="143"/>
        <v>241</v>
      </c>
      <c r="M299" s="101">
        <f t="shared" si="143"/>
        <v>533005.66999999993</v>
      </c>
      <c r="N299" s="101">
        <f t="shared" si="143"/>
        <v>0</v>
      </c>
      <c r="O299" s="101">
        <f t="shared" si="143"/>
        <v>0</v>
      </c>
      <c r="P299" s="101">
        <f t="shared" si="143"/>
        <v>0</v>
      </c>
      <c r="Q299" s="101">
        <f t="shared" si="143"/>
        <v>0</v>
      </c>
      <c r="R299" s="101">
        <f t="shared" si="143"/>
        <v>0</v>
      </c>
      <c r="S299" s="101">
        <f t="shared" si="143"/>
        <v>0</v>
      </c>
      <c r="T299" s="131">
        <f t="shared" si="143"/>
        <v>0</v>
      </c>
      <c r="U299" s="101">
        <f t="shared" si="143"/>
        <v>0</v>
      </c>
      <c r="V299" s="101" t="s">
        <v>387</v>
      </c>
      <c r="W299" s="101">
        <f t="shared" ref="W299:AL299" si="144">SUM(W296:W298)</f>
        <v>0</v>
      </c>
      <c r="X299" s="101">
        <f t="shared" si="144"/>
        <v>0</v>
      </c>
      <c r="Y299" s="101">
        <f t="shared" si="144"/>
        <v>0</v>
      </c>
      <c r="Z299" s="101">
        <f t="shared" si="144"/>
        <v>0</v>
      </c>
      <c r="AA299" s="101">
        <f t="shared" si="144"/>
        <v>0</v>
      </c>
      <c r="AB299" s="101">
        <f t="shared" si="144"/>
        <v>0</v>
      </c>
      <c r="AC299" s="101">
        <f t="shared" si="144"/>
        <v>0</v>
      </c>
      <c r="AD299" s="101">
        <f t="shared" si="144"/>
        <v>0</v>
      </c>
      <c r="AE299" s="101">
        <f t="shared" si="144"/>
        <v>0</v>
      </c>
      <c r="AF299" s="101">
        <f t="shared" si="144"/>
        <v>0</v>
      </c>
      <c r="AG299" s="101">
        <f t="shared" si="144"/>
        <v>0</v>
      </c>
      <c r="AH299" s="101">
        <f t="shared" si="144"/>
        <v>0</v>
      </c>
      <c r="AI299" s="101">
        <f t="shared" si="144"/>
        <v>223482.3</v>
      </c>
      <c r="AJ299" s="101">
        <f t="shared" si="144"/>
        <v>23764.02</v>
      </c>
      <c r="AK299" s="101">
        <f t="shared" si="144"/>
        <v>11882.01</v>
      </c>
      <c r="AL299" s="101">
        <f t="shared" si="144"/>
        <v>0</v>
      </c>
      <c r="AM299" s="352"/>
      <c r="AN299" s="352"/>
    </row>
    <row r="300" spans="1:40" s="19" customFormat="1" ht="12.75" hidden="1" customHeight="1">
      <c r="A300" s="514" t="s">
        <v>929</v>
      </c>
      <c r="B300" s="515"/>
      <c r="C300" s="515"/>
      <c r="D300" s="515"/>
      <c r="E300" s="515"/>
      <c r="F300" s="515"/>
      <c r="G300" s="515"/>
      <c r="H300" s="515"/>
      <c r="I300" s="515"/>
      <c r="J300" s="515"/>
      <c r="K300" s="515"/>
      <c r="L300" s="515"/>
      <c r="M300" s="515"/>
      <c r="N300" s="515"/>
      <c r="O300" s="515"/>
      <c r="P300" s="515"/>
      <c r="Q300" s="515"/>
      <c r="R300" s="515"/>
      <c r="S300" s="515"/>
      <c r="T300" s="515"/>
      <c r="U300" s="515"/>
      <c r="V300" s="515"/>
      <c r="W300" s="515"/>
      <c r="X300" s="515"/>
      <c r="Y300" s="515"/>
      <c r="Z300" s="515"/>
      <c r="AA300" s="515"/>
      <c r="AB300" s="515"/>
      <c r="AC300" s="515"/>
      <c r="AD300" s="515"/>
      <c r="AE300" s="515"/>
      <c r="AF300" s="515"/>
      <c r="AG300" s="515"/>
      <c r="AH300" s="515"/>
      <c r="AI300" s="515"/>
      <c r="AJ300" s="515"/>
      <c r="AK300" s="515"/>
      <c r="AL300" s="516"/>
      <c r="AM300" s="352"/>
      <c r="AN300" s="352"/>
    </row>
    <row r="301" spans="1:40" s="19" customFormat="1" ht="9" hidden="1" customHeight="1">
      <c r="A301" s="78">
        <v>238</v>
      </c>
      <c r="B301" s="345" t="s">
        <v>932</v>
      </c>
      <c r="C301" s="79">
        <v>590.20000000000005</v>
      </c>
      <c r="D301" s="343"/>
      <c r="E301" s="348"/>
      <c r="F301" s="348"/>
      <c r="G301" s="117">
        <f>ROUND(H301+U301+X301+Z301+AB301+AD301+AF301+AH301+AI301+AJ301+AK301+AL301,2)</f>
        <v>1532009.95</v>
      </c>
      <c r="H301" s="348">
        <f t="shared" ref="H301" si="145">I301+K301+M301+O301+Q301+S301</f>
        <v>0</v>
      </c>
      <c r="I301" s="129">
        <v>0</v>
      </c>
      <c r="J301" s="129">
        <v>0</v>
      </c>
      <c r="K301" s="129">
        <v>0</v>
      </c>
      <c r="L301" s="129">
        <v>0</v>
      </c>
      <c r="M301" s="129">
        <v>0</v>
      </c>
      <c r="N301" s="348">
        <v>0</v>
      </c>
      <c r="O301" s="348">
        <v>0</v>
      </c>
      <c r="P301" s="348">
        <v>0</v>
      </c>
      <c r="Q301" s="348">
        <v>0</v>
      </c>
      <c r="R301" s="348">
        <v>0</v>
      </c>
      <c r="S301" s="348">
        <v>0</v>
      </c>
      <c r="T301" s="44">
        <v>0</v>
      </c>
      <c r="U301" s="348">
        <v>0</v>
      </c>
      <c r="V301" s="348" t="s">
        <v>998</v>
      </c>
      <c r="W301" s="17">
        <v>501.4</v>
      </c>
      <c r="X301" s="348">
        <v>1457219</v>
      </c>
      <c r="Y301" s="351">
        <v>0</v>
      </c>
      <c r="Z301" s="351">
        <v>0</v>
      </c>
      <c r="AA301" s="351">
        <v>0</v>
      </c>
      <c r="AB301" s="351">
        <v>0</v>
      </c>
      <c r="AC301" s="351">
        <v>0</v>
      </c>
      <c r="AD301" s="351">
        <v>0</v>
      </c>
      <c r="AE301" s="351">
        <v>0</v>
      </c>
      <c r="AF301" s="351">
        <v>0</v>
      </c>
      <c r="AG301" s="351">
        <v>0</v>
      </c>
      <c r="AH301" s="351">
        <v>0</v>
      </c>
      <c r="AI301" s="351">
        <v>0</v>
      </c>
      <c r="AJ301" s="351">
        <v>49777.25</v>
      </c>
      <c r="AK301" s="351">
        <v>25013.7</v>
      </c>
      <c r="AL301" s="351">
        <v>0</v>
      </c>
      <c r="AM301" s="352"/>
      <c r="AN301" s="352"/>
    </row>
    <row r="302" spans="1:40" s="19" customFormat="1" ht="36.75" hidden="1" customHeight="1">
      <c r="A302" s="608" t="s">
        <v>931</v>
      </c>
      <c r="B302" s="608"/>
      <c r="C302" s="101">
        <f>SUM(C301)</f>
        <v>590.20000000000005</v>
      </c>
      <c r="D302" s="250"/>
      <c r="E302" s="101"/>
      <c r="F302" s="101"/>
      <c r="G302" s="101">
        <f>ROUND(SUM(G301),2)</f>
        <v>1532009.95</v>
      </c>
      <c r="H302" s="101">
        <f t="shared" ref="H302:AN302" si="146">SUM(H301)</f>
        <v>0</v>
      </c>
      <c r="I302" s="101">
        <f t="shared" si="146"/>
        <v>0</v>
      </c>
      <c r="J302" s="101">
        <f t="shared" si="146"/>
        <v>0</v>
      </c>
      <c r="K302" s="101">
        <f t="shared" si="146"/>
        <v>0</v>
      </c>
      <c r="L302" s="101">
        <f t="shared" si="146"/>
        <v>0</v>
      </c>
      <c r="M302" s="101">
        <f t="shared" si="146"/>
        <v>0</v>
      </c>
      <c r="N302" s="101">
        <f t="shared" si="146"/>
        <v>0</v>
      </c>
      <c r="O302" s="101">
        <f t="shared" si="146"/>
        <v>0</v>
      </c>
      <c r="P302" s="101">
        <f t="shared" si="146"/>
        <v>0</v>
      </c>
      <c r="Q302" s="101">
        <f t="shared" si="146"/>
        <v>0</v>
      </c>
      <c r="R302" s="101">
        <f t="shared" si="146"/>
        <v>0</v>
      </c>
      <c r="S302" s="101">
        <f t="shared" si="146"/>
        <v>0</v>
      </c>
      <c r="T302" s="131">
        <f t="shared" si="146"/>
        <v>0</v>
      </c>
      <c r="U302" s="101">
        <f t="shared" si="146"/>
        <v>0</v>
      </c>
      <c r="V302" s="101" t="s">
        <v>387</v>
      </c>
      <c r="W302" s="101">
        <f t="shared" si="146"/>
        <v>501.4</v>
      </c>
      <c r="X302" s="101">
        <f t="shared" si="146"/>
        <v>1457219</v>
      </c>
      <c r="Y302" s="101">
        <f t="shared" si="146"/>
        <v>0</v>
      </c>
      <c r="Z302" s="101">
        <f t="shared" si="146"/>
        <v>0</v>
      </c>
      <c r="AA302" s="101">
        <f t="shared" si="146"/>
        <v>0</v>
      </c>
      <c r="AB302" s="101">
        <f t="shared" si="146"/>
        <v>0</v>
      </c>
      <c r="AC302" s="101">
        <f t="shared" si="146"/>
        <v>0</v>
      </c>
      <c r="AD302" s="101">
        <f t="shared" si="146"/>
        <v>0</v>
      </c>
      <c r="AE302" s="101">
        <f t="shared" si="146"/>
        <v>0</v>
      </c>
      <c r="AF302" s="101">
        <f t="shared" si="146"/>
        <v>0</v>
      </c>
      <c r="AG302" s="101">
        <f t="shared" si="146"/>
        <v>0</v>
      </c>
      <c r="AH302" s="101">
        <f t="shared" si="146"/>
        <v>0</v>
      </c>
      <c r="AI302" s="101">
        <f t="shared" si="146"/>
        <v>0</v>
      </c>
      <c r="AJ302" s="101">
        <f t="shared" si="146"/>
        <v>49777.25</v>
      </c>
      <c r="AK302" s="101">
        <f t="shared" si="146"/>
        <v>25013.7</v>
      </c>
      <c r="AL302" s="101">
        <f t="shared" si="146"/>
        <v>0</v>
      </c>
      <c r="AM302" s="101">
        <f t="shared" si="146"/>
        <v>0</v>
      </c>
      <c r="AN302" s="101">
        <f t="shared" si="146"/>
        <v>0</v>
      </c>
    </row>
    <row r="303" spans="1:40" s="19" customFormat="1" ht="13.5" hidden="1" customHeight="1">
      <c r="A303" s="514" t="s">
        <v>1025</v>
      </c>
      <c r="B303" s="515"/>
      <c r="C303" s="515"/>
      <c r="D303" s="515"/>
      <c r="E303" s="515"/>
      <c r="F303" s="515"/>
      <c r="G303" s="515"/>
      <c r="H303" s="515"/>
      <c r="I303" s="515"/>
      <c r="J303" s="515"/>
      <c r="K303" s="515"/>
      <c r="L303" s="515"/>
      <c r="M303" s="515"/>
      <c r="N303" s="515"/>
      <c r="O303" s="515"/>
      <c r="P303" s="515"/>
      <c r="Q303" s="515"/>
      <c r="R303" s="515"/>
      <c r="S303" s="515"/>
      <c r="T303" s="515"/>
      <c r="U303" s="515"/>
      <c r="V303" s="515"/>
      <c r="W303" s="515"/>
      <c r="X303" s="515"/>
      <c r="Y303" s="515"/>
      <c r="Z303" s="515"/>
      <c r="AA303" s="515"/>
      <c r="AB303" s="515"/>
      <c r="AC303" s="515"/>
      <c r="AD303" s="515"/>
      <c r="AE303" s="515"/>
      <c r="AF303" s="515"/>
      <c r="AG303" s="515"/>
      <c r="AH303" s="515"/>
      <c r="AI303" s="515"/>
      <c r="AJ303" s="515"/>
      <c r="AK303" s="515"/>
      <c r="AL303" s="516"/>
      <c r="AM303" s="352"/>
      <c r="AN303" s="352"/>
    </row>
    <row r="304" spans="1:40" s="19" customFormat="1" ht="9" hidden="1" customHeight="1">
      <c r="A304" s="96">
        <v>239</v>
      </c>
      <c r="B304" s="347" t="s">
        <v>933</v>
      </c>
      <c r="C304" s="101">
        <v>862.8</v>
      </c>
      <c r="D304" s="343"/>
      <c r="E304" s="101"/>
      <c r="F304" s="101"/>
      <c r="G304" s="117">
        <f t="shared" ref="G304:G305" si="147">ROUND(H304+U304+X304+Z304+AB304+AD304+AF304+AH304+AI304+AJ304+AK304+AL304,2)</f>
        <v>2073971.92</v>
      </c>
      <c r="H304" s="348">
        <f t="shared" ref="H304:H305" si="148">I304+K304+M304+O304+Q304+S304</f>
        <v>0</v>
      </c>
      <c r="I304" s="129">
        <v>0</v>
      </c>
      <c r="J304" s="129">
        <v>0</v>
      </c>
      <c r="K304" s="129">
        <v>0</v>
      </c>
      <c r="L304" s="129">
        <v>0</v>
      </c>
      <c r="M304" s="129">
        <v>0</v>
      </c>
      <c r="N304" s="348">
        <v>0</v>
      </c>
      <c r="O304" s="348">
        <v>0</v>
      </c>
      <c r="P304" s="348">
        <v>0</v>
      </c>
      <c r="Q304" s="348">
        <v>0</v>
      </c>
      <c r="R304" s="348">
        <v>0</v>
      </c>
      <c r="S304" s="348">
        <v>0</v>
      </c>
      <c r="T304" s="44">
        <v>0</v>
      </c>
      <c r="U304" s="348">
        <v>0</v>
      </c>
      <c r="V304" s="101" t="s">
        <v>998</v>
      </c>
      <c r="W304" s="17">
        <v>683.1</v>
      </c>
      <c r="X304" s="348">
        <v>1938166.38</v>
      </c>
      <c r="Y304" s="351">
        <v>0</v>
      </c>
      <c r="Z304" s="351">
        <v>0</v>
      </c>
      <c r="AA304" s="351">
        <v>0</v>
      </c>
      <c r="AB304" s="351">
        <v>0</v>
      </c>
      <c r="AC304" s="351">
        <v>0</v>
      </c>
      <c r="AD304" s="351">
        <v>0</v>
      </c>
      <c r="AE304" s="351">
        <v>0</v>
      </c>
      <c r="AF304" s="351">
        <v>0</v>
      </c>
      <c r="AG304" s="351">
        <v>0</v>
      </c>
      <c r="AH304" s="351">
        <v>0</v>
      </c>
      <c r="AI304" s="351">
        <v>0</v>
      </c>
      <c r="AJ304" s="351">
        <v>90385.63</v>
      </c>
      <c r="AK304" s="351">
        <v>45419.91</v>
      </c>
      <c r="AL304" s="351">
        <v>0</v>
      </c>
      <c r="AM304" s="352"/>
      <c r="AN304" s="352"/>
    </row>
    <row r="305" spans="1:40" s="19" customFormat="1" ht="9" hidden="1" customHeight="1">
      <c r="A305" s="96">
        <v>240</v>
      </c>
      <c r="B305" s="347" t="s">
        <v>1027</v>
      </c>
      <c r="C305" s="101">
        <v>2734.24</v>
      </c>
      <c r="D305" s="343"/>
      <c r="E305" s="101"/>
      <c r="F305" s="101"/>
      <c r="G305" s="117">
        <f t="shared" si="147"/>
        <v>2238240.9300000002</v>
      </c>
      <c r="H305" s="348">
        <f t="shared" si="148"/>
        <v>0</v>
      </c>
      <c r="I305" s="129">
        <v>0</v>
      </c>
      <c r="J305" s="129">
        <v>0</v>
      </c>
      <c r="K305" s="129">
        <v>0</v>
      </c>
      <c r="L305" s="129">
        <v>0</v>
      </c>
      <c r="M305" s="129">
        <v>0</v>
      </c>
      <c r="N305" s="348">
        <v>0</v>
      </c>
      <c r="O305" s="348">
        <v>0</v>
      </c>
      <c r="P305" s="348">
        <v>0</v>
      </c>
      <c r="Q305" s="348">
        <v>0</v>
      </c>
      <c r="R305" s="348">
        <v>0</v>
      </c>
      <c r="S305" s="348">
        <v>0</v>
      </c>
      <c r="T305" s="44">
        <v>0</v>
      </c>
      <c r="U305" s="348">
        <v>0</v>
      </c>
      <c r="V305" s="101" t="s">
        <v>998</v>
      </c>
      <c r="W305" s="17">
        <v>871.1</v>
      </c>
      <c r="X305" s="348">
        <v>2122056.2000000002</v>
      </c>
      <c r="Y305" s="351">
        <v>0</v>
      </c>
      <c r="Z305" s="351">
        <v>0</v>
      </c>
      <c r="AA305" s="351">
        <v>0</v>
      </c>
      <c r="AB305" s="351">
        <v>0</v>
      </c>
      <c r="AC305" s="351">
        <v>0</v>
      </c>
      <c r="AD305" s="351">
        <v>0</v>
      </c>
      <c r="AE305" s="351">
        <v>0</v>
      </c>
      <c r="AF305" s="351">
        <v>0</v>
      </c>
      <c r="AG305" s="351">
        <v>0</v>
      </c>
      <c r="AH305" s="351">
        <v>0</v>
      </c>
      <c r="AI305" s="351">
        <v>0</v>
      </c>
      <c r="AJ305" s="351">
        <v>77326.960000000006</v>
      </c>
      <c r="AK305" s="351">
        <v>38857.769999999997</v>
      </c>
      <c r="AL305" s="351">
        <v>0</v>
      </c>
      <c r="AM305" s="352"/>
      <c r="AN305" s="352"/>
    </row>
    <row r="306" spans="1:40" s="19" customFormat="1" ht="36.75" hidden="1" customHeight="1">
      <c r="A306" s="608" t="s">
        <v>1026</v>
      </c>
      <c r="B306" s="608"/>
      <c r="C306" s="101">
        <f>SUM(C304:C305)</f>
        <v>3597.04</v>
      </c>
      <c r="D306" s="250"/>
      <c r="E306" s="101"/>
      <c r="F306" s="101"/>
      <c r="G306" s="101">
        <f>ROUND(SUM(G304:G305),2)</f>
        <v>4312212.8499999996</v>
      </c>
      <c r="H306" s="101">
        <f t="shared" ref="H306:AN306" si="149">SUM(H304:H305)</f>
        <v>0</v>
      </c>
      <c r="I306" s="101">
        <f t="shared" si="149"/>
        <v>0</v>
      </c>
      <c r="J306" s="101">
        <f t="shared" si="149"/>
        <v>0</v>
      </c>
      <c r="K306" s="101">
        <f t="shared" si="149"/>
        <v>0</v>
      </c>
      <c r="L306" s="101">
        <f t="shared" si="149"/>
        <v>0</v>
      </c>
      <c r="M306" s="101">
        <f t="shared" si="149"/>
        <v>0</v>
      </c>
      <c r="N306" s="101">
        <f t="shared" si="149"/>
        <v>0</v>
      </c>
      <c r="O306" s="101">
        <f t="shared" si="149"/>
        <v>0</v>
      </c>
      <c r="P306" s="101">
        <f t="shared" si="149"/>
        <v>0</v>
      </c>
      <c r="Q306" s="101">
        <f t="shared" si="149"/>
        <v>0</v>
      </c>
      <c r="R306" s="101">
        <f t="shared" si="149"/>
        <v>0</v>
      </c>
      <c r="S306" s="101">
        <f t="shared" si="149"/>
        <v>0</v>
      </c>
      <c r="T306" s="131">
        <f t="shared" si="149"/>
        <v>0</v>
      </c>
      <c r="U306" s="101">
        <f t="shared" si="149"/>
        <v>0</v>
      </c>
      <c r="V306" s="101" t="s">
        <v>387</v>
      </c>
      <c r="W306" s="101">
        <f t="shared" si="149"/>
        <v>1554.2</v>
      </c>
      <c r="X306" s="101">
        <f t="shared" si="149"/>
        <v>4060222.58</v>
      </c>
      <c r="Y306" s="101">
        <f t="shared" si="149"/>
        <v>0</v>
      </c>
      <c r="Z306" s="101">
        <f t="shared" si="149"/>
        <v>0</v>
      </c>
      <c r="AA306" s="101">
        <f t="shared" si="149"/>
        <v>0</v>
      </c>
      <c r="AB306" s="101">
        <f t="shared" si="149"/>
        <v>0</v>
      </c>
      <c r="AC306" s="101">
        <f t="shared" si="149"/>
        <v>0</v>
      </c>
      <c r="AD306" s="101">
        <f t="shared" si="149"/>
        <v>0</v>
      </c>
      <c r="AE306" s="101">
        <f t="shared" si="149"/>
        <v>0</v>
      </c>
      <c r="AF306" s="101">
        <f t="shared" si="149"/>
        <v>0</v>
      </c>
      <c r="AG306" s="101">
        <f t="shared" si="149"/>
        <v>0</v>
      </c>
      <c r="AH306" s="101">
        <f t="shared" si="149"/>
        <v>0</v>
      </c>
      <c r="AI306" s="101">
        <f t="shared" si="149"/>
        <v>0</v>
      </c>
      <c r="AJ306" s="101">
        <f t="shared" si="149"/>
        <v>167712.59000000003</v>
      </c>
      <c r="AK306" s="101">
        <f t="shared" si="149"/>
        <v>84277.68</v>
      </c>
      <c r="AL306" s="101">
        <f t="shared" si="149"/>
        <v>0</v>
      </c>
      <c r="AM306" s="101">
        <f t="shared" si="149"/>
        <v>0</v>
      </c>
      <c r="AN306" s="101">
        <f t="shared" si="149"/>
        <v>0</v>
      </c>
    </row>
    <row r="307" spans="1:40" s="19" customFormat="1" ht="14.25" hidden="1" customHeight="1">
      <c r="A307" s="612" t="s">
        <v>2</v>
      </c>
      <c r="B307" s="613"/>
      <c r="C307" s="613"/>
      <c r="D307" s="613"/>
      <c r="E307" s="613"/>
      <c r="F307" s="613"/>
      <c r="G307" s="613"/>
      <c r="H307" s="613"/>
      <c r="I307" s="613"/>
      <c r="J307" s="613"/>
      <c r="K307" s="613"/>
      <c r="L307" s="613"/>
      <c r="M307" s="613"/>
      <c r="N307" s="613"/>
      <c r="O307" s="613"/>
      <c r="P307" s="613"/>
      <c r="Q307" s="613"/>
      <c r="R307" s="613"/>
      <c r="S307" s="613"/>
      <c r="T307" s="613"/>
      <c r="U307" s="613"/>
      <c r="V307" s="613"/>
      <c r="W307" s="613"/>
      <c r="X307" s="613"/>
      <c r="Y307" s="613"/>
      <c r="Z307" s="613"/>
      <c r="AA307" s="613"/>
      <c r="AB307" s="613"/>
      <c r="AC307" s="613"/>
      <c r="AD307" s="613"/>
      <c r="AE307" s="613"/>
      <c r="AF307" s="613"/>
      <c r="AG307" s="613"/>
      <c r="AH307" s="613"/>
      <c r="AI307" s="613"/>
      <c r="AJ307" s="613"/>
      <c r="AK307" s="613"/>
      <c r="AL307" s="614"/>
      <c r="AM307" s="352"/>
      <c r="AN307" s="352"/>
    </row>
    <row r="308" spans="1:40" s="19" customFormat="1" ht="9" hidden="1" customHeight="1">
      <c r="A308" s="103">
        <v>241</v>
      </c>
      <c r="B308" s="104" t="s">
        <v>936</v>
      </c>
      <c r="C308" s="107">
        <v>577.1</v>
      </c>
      <c r="D308" s="343"/>
      <c r="E308" s="107"/>
      <c r="F308" s="107"/>
      <c r="G308" s="117">
        <f t="shared" ref="G308:G309" si="150">ROUND(H308+U308+X308+Z308+AB308+AD308+AF308+AH308+AI308+AJ308+AK308+AL308,2)</f>
        <v>1282012.1599999999</v>
      </c>
      <c r="H308" s="348">
        <f t="shared" ref="H308:H309" si="151">I308+K308+M308+O308+Q308+S308</f>
        <v>0</v>
      </c>
      <c r="I308" s="129">
        <v>0</v>
      </c>
      <c r="J308" s="129">
        <v>0</v>
      </c>
      <c r="K308" s="129">
        <v>0</v>
      </c>
      <c r="L308" s="129">
        <v>0</v>
      </c>
      <c r="M308" s="129">
        <v>0</v>
      </c>
      <c r="N308" s="348">
        <v>0</v>
      </c>
      <c r="O308" s="348">
        <v>0</v>
      </c>
      <c r="P308" s="348">
        <v>0</v>
      </c>
      <c r="Q308" s="348">
        <v>0</v>
      </c>
      <c r="R308" s="348">
        <v>0</v>
      </c>
      <c r="S308" s="348">
        <v>0</v>
      </c>
      <c r="T308" s="44">
        <v>0</v>
      </c>
      <c r="U308" s="348">
        <v>0</v>
      </c>
      <c r="V308" s="107" t="s">
        <v>998</v>
      </c>
      <c r="W308" s="26">
        <v>506.2</v>
      </c>
      <c r="X308" s="348">
        <v>1205776.55</v>
      </c>
      <c r="Y308" s="351">
        <v>0</v>
      </c>
      <c r="Z308" s="351">
        <v>0</v>
      </c>
      <c r="AA308" s="351">
        <v>0</v>
      </c>
      <c r="AB308" s="351">
        <v>0</v>
      </c>
      <c r="AC308" s="351">
        <v>0</v>
      </c>
      <c r="AD308" s="351">
        <v>0</v>
      </c>
      <c r="AE308" s="351">
        <v>0</v>
      </c>
      <c r="AF308" s="351">
        <v>0</v>
      </c>
      <c r="AG308" s="351">
        <v>0</v>
      </c>
      <c r="AH308" s="351">
        <v>0</v>
      </c>
      <c r="AI308" s="351">
        <v>0</v>
      </c>
      <c r="AJ308" s="351">
        <v>50738.75</v>
      </c>
      <c r="AK308" s="351">
        <v>25496.86</v>
      </c>
      <c r="AL308" s="351">
        <v>0</v>
      </c>
      <c r="AM308" s="352"/>
      <c r="AN308" s="352"/>
    </row>
    <row r="309" spans="1:40" s="19" customFormat="1" ht="9" hidden="1" customHeight="1">
      <c r="A309" s="103">
        <v>242</v>
      </c>
      <c r="B309" s="104" t="s">
        <v>937</v>
      </c>
      <c r="C309" s="107">
        <v>995.08</v>
      </c>
      <c r="D309" s="343"/>
      <c r="E309" s="107"/>
      <c r="F309" s="107"/>
      <c r="G309" s="117">
        <f t="shared" si="150"/>
        <v>3247233.45</v>
      </c>
      <c r="H309" s="348">
        <f t="shared" si="151"/>
        <v>0</v>
      </c>
      <c r="I309" s="129">
        <v>0</v>
      </c>
      <c r="J309" s="129">
        <v>0</v>
      </c>
      <c r="K309" s="129">
        <v>0</v>
      </c>
      <c r="L309" s="129">
        <v>0</v>
      </c>
      <c r="M309" s="129">
        <v>0</v>
      </c>
      <c r="N309" s="348">
        <v>0</v>
      </c>
      <c r="O309" s="348">
        <v>0</v>
      </c>
      <c r="P309" s="348">
        <v>0</v>
      </c>
      <c r="Q309" s="348">
        <v>0</v>
      </c>
      <c r="R309" s="348">
        <v>0</v>
      </c>
      <c r="S309" s="348">
        <v>0</v>
      </c>
      <c r="T309" s="44">
        <v>0</v>
      </c>
      <c r="U309" s="348">
        <v>0</v>
      </c>
      <c r="V309" s="107" t="s">
        <v>998</v>
      </c>
      <c r="W309" s="26">
        <v>884</v>
      </c>
      <c r="X309" s="348">
        <v>3119013.76</v>
      </c>
      <c r="Y309" s="351">
        <v>0</v>
      </c>
      <c r="Z309" s="351">
        <v>0</v>
      </c>
      <c r="AA309" s="351">
        <v>0</v>
      </c>
      <c r="AB309" s="351">
        <v>0</v>
      </c>
      <c r="AC309" s="351">
        <v>0</v>
      </c>
      <c r="AD309" s="351">
        <v>0</v>
      </c>
      <c r="AE309" s="351">
        <v>0</v>
      </c>
      <c r="AF309" s="351">
        <v>0</v>
      </c>
      <c r="AG309" s="351">
        <v>0</v>
      </c>
      <c r="AH309" s="351">
        <v>0</v>
      </c>
      <c r="AI309" s="351">
        <v>0</v>
      </c>
      <c r="AJ309" s="351">
        <v>85336.85</v>
      </c>
      <c r="AK309" s="351">
        <v>42882.84</v>
      </c>
      <c r="AL309" s="351">
        <v>0</v>
      </c>
      <c r="AM309" s="352"/>
      <c r="AN309" s="352"/>
    </row>
    <row r="310" spans="1:40" s="19" customFormat="1" ht="23.25" hidden="1" customHeight="1">
      <c r="A310" s="609" t="s">
        <v>5</v>
      </c>
      <c r="B310" s="609"/>
      <c r="C310" s="107">
        <f>SUM(C308:C309)</f>
        <v>1572.18</v>
      </c>
      <c r="D310" s="251"/>
      <c r="E310" s="225"/>
      <c r="F310" s="225"/>
      <c r="G310" s="107">
        <f>ROUND(SUM(G308:G309),2)</f>
        <v>4529245.6100000003</v>
      </c>
      <c r="H310" s="107">
        <f t="shared" ref="H310:AN310" si="152">SUM(H308:H309)</f>
        <v>0</v>
      </c>
      <c r="I310" s="107">
        <f t="shared" si="152"/>
        <v>0</v>
      </c>
      <c r="J310" s="107">
        <f t="shared" si="152"/>
        <v>0</v>
      </c>
      <c r="K310" s="107">
        <f t="shared" si="152"/>
        <v>0</v>
      </c>
      <c r="L310" s="107">
        <f t="shared" si="152"/>
        <v>0</v>
      </c>
      <c r="M310" s="107">
        <f t="shared" si="152"/>
        <v>0</v>
      </c>
      <c r="N310" s="107">
        <f t="shared" si="152"/>
        <v>0</v>
      </c>
      <c r="O310" s="107">
        <f t="shared" si="152"/>
        <v>0</v>
      </c>
      <c r="P310" s="107">
        <f t="shared" si="152"/>
        <v>0</v>
      </c>
      <c r="Q310" s="107">
        <f t="shared" si="152"/>
        <v>0</v>
      </c>
      <c r="R310" s="107">
        <f t="shared" si="152"/>
        <v>0</v>
      </c>
      <c r="S310" s="107">
        <f t="shared" si="152"/>
        <v>0</v>
      </c>
      <c r="T310" s="132">
        <f t="shared" si="152"/>
        <v>0</v>
      </c>
      <c r="U310" s="107">
        <f t="shared" si="152"/>
        <v>0</v>
      </c>
      <c r="V310" s="225" t="s">
        <v>387</v>
      </c>
      <c r="W310" s="107">
        <f t="shared" si="152"/>
        <v>1390.2</v>
      </c>
      <c r="X310" s="107">
        <f t="shared" si="152"/>
        <v>4324790.3099999996</v>
      </c>
      <c r="Y310" s="107">
        <f t="shared" si="152"/>
        <v>0</v>
      </c>
      <c r="Z310" s="107">
        <f t="shared" si="152"/>
        <v>0</v>
      </c>
      <c r="AA310" s="107">
        <f t="shared" si="152"/>
        <v>0</v>
      </c>
      <c r="AB310" s="107">
        <f t="shared" si="152"/>
        <v>0</v>
      </c>
      <c r="AC310" s="107">
        <f t="shared" si="152"/>
        <v>0</v>
      </c>
      <c r="AD310" s="107">
        <f t="shared" si="152"/>
        <v>0</v>
      </c>
      <c r="AE310" s="107">
        <f t="shared" si="152"/>
        <v>0</v>
      </c>
      <c r="AF310" s="107">
        <f t="shared" si="152"/>
        <v>0</v>
      </c>
      <c r="AG310" s="107">
        <f t="shared" si="152"/>
        <v>0</v>
      </c>
      <c r="AH310" s="107">
        <f t="shared" si="152"/>
        <v>0</v>
      </c>
      <c r="AI310" s="107">
        <f t="shared" si="152"/>
        <v>0</v>
      </c>
      <c r="AJ310" s="107">
        <f t="shared" si="152"/>
        <v>136075.6</v>
      </c>
      <c r="AK310" s="107">
        <f t="shared" si="152"/>
        <v>68379.7</v>
      </c>
      <c r="AL310" s="107">
        <f t="shared" si="152"/>
        <v>0</v>
      </c>
      <c r="AM310" s="107">
        <f t="shared" si="152"/>
        <v>0</v>
      </c>
      <c r="AN310" s="107">
        <f t="shared" si="152"/>
        <v>0</v>
      </c>
    </row>
    <row r="311" spans="1:40" s="19" customFormat="1" ht="12" hidden="1" customHeight="1">
      <c r="A311" s="514" t="s">
        <v>8</v>
      </c>
      <c r="B311" s="515"/>
      <c r="C311" s="515"/>
      <c r="D311" s="515"/>
      <c r="E311" s="515"/>
      <c r="F311" s="515"/>
      <c r="G311" s="515"/>
      <c r="H311" s="515"/>
      <c r="I311" s="515"/>
      <c r="J311" s="515"/>
      <c r="K311" s="515"/>
      <c r="L311" s="515"/>
      <c r="M311" s="515"/>
      <c r="N311" s="515"/>
      <c r="O311" s="515"/>
      <c r="P311" s="515"/>
      <c r="Q311" s="515"/>
      <c r="R311" s="515"/>
      <c r="S311" s="515"/>
      <c r="T311" s="515"/>
      <c r="U311" s="515"/>
      <c r="V311" s="515"/>
      <c r="W311" s="515"/>
      <c r="X311" s="515"/>
      <c r="Y311" s="515"/>
      <c r="Z311" s="515"/>
      <c r="AA311" s="515"/>
      <c r="AB311" s="515"/>
      <c r="AC311" s="515"/>
      <c r="AD311" s="515"/>
      <c r="AE311" s="515"/>
      <c r="AF311" s="515"/>
      <c r="AG311" s="515"/>
      <c r="AH311" s="515"/>
      <c r="AI311" s="515"/>
      <c r="AJ311" s="515"/>
      <c r="AK311" s="515"/>
      <c r="AL311" s="516"/>
      <c r="AM311" s="352"/>
      <c r="AN311" s="352"/>
    </row>
    <row r="312" spans="1:40" s="19" customFormat="1" ht="9" hidden="1" customHeight="1">
      <c r="A312" s="78">
        <v>243</v>
      </c>
      <c r="B312" s="82" t="s">
        <v>939</v>
      </c>
      <c r="C312" s="79">
        <v>615.70000000000005</v>
      </c>
      <c r="D312" s="343"/>
      <c r="E312" s="79"/>
      <c r="F312" s="79"/>
      <c r="G312" s="117">
        <f t="shared" ref="G312:G313" si="153">ROUND(H312+U312+X312+Z312+AB312+AD312+AF312+AH312+AI312+AJ312+AK312+AL312,2)</f>
        <v>2282071.91</v>
      </c>
      <c r="H312" s="348">
        <f t="shared" ref="H312:H313" si="154">I312+K312+M312+O312+Q312+S312</f>
        <v>0</v>
      </c>
      <c r="I312" s="129">
        <v>0</v>
      </c>
      <c r="J312" s="129">
        <v>0</v>
      </c>
      <c r="K312" s="129">
        <v>0</v>
      </c>
      <c r="L312" s="129">
        <v>0</v>
      </c>
      <c r="M312" s="129">
        <v>0</v>
      </c>
      <c r="N312" s="348">
        <v>0</v>
      </c>
      <c r="O312" s="348">
        <v>0</v>
      </c>
      <c r="P312" s="348">
        <v>0</v>
      </c>
      <c r="Q312" s="348">
        <v>0</v>
      </c>
      <c r="R312" s="348">
        <v>0</v>
      </c>
      <c r="S312" s="348">
        <v>0</v>
      </c>
      <c r="T312" s="44">
        <v>0</v>
      </c>
      <c r="U312" s="348">
        <v>0</v>
      </c>
      <c r="V312" s="79" t="s">
        <v>998</v>
      </c>
      <c r="W312" s="15">
        <v>612</v>
      </c>
      <c r="X312" s="348">
        <v>2214217</v>
      </c>
      <c r="Y312" s="351">
        <v>0</v>
      </c>
      <c r="Z312" s="351">
        <v>0</v>
      </c>
      <c r="AA312" s="351">
        <v>0</v>
      </c>
      <c r="AB312" s="351">
        <v>0</v>
      </c>
      <c r="AC312" s="351">
        <v>0</v>
      </c>
      <c r="AD312" s="351">
        <v>0</v>
      </c>
      <c r="AE312" s="351">
        <v>0</v>
      </c>
      <c r="AF312" s="351">
        <v>0</v>
      </c>
      <c r="AG312" s="351">
        <v>0</v>
      </c>
      <c r="AH312" s="351">
        <v>0</v>
      </c>
      <c r="AI312" s="351">
        <v>0</v>
      </c>
      <c r="AJ312" s="351">
        <v>45160.959999999999</v>
      </c>
      <c r="AK312" s="351">
        <v>22693.95</v>
      </c>
      <c r="AL312" s="351">
        <v>0</v>
      </c>
      <c r="AM312" s="352"/>
      <c r="AN312" s="352"/>
    </row>
    <row r="313" spans="1:40" s="19" customFormat="1" ht="9" hidden="1" customHeight="1">
      <c r="A313" s="78">
        <v>244</v>
      </c>
      <c r="B313" s="82" t="s">
        <v>940</v>
      </c>
      <c r="C313" s="79">
        <v>648.1</v>
      </c>
      <c r="D313" s="343"/>
      <c r="E313" s="79"/>
      <c r="F313" s="79"/>
      <c r="G313" s="117">
        <f t="shared" si="153"/>
        <v>1971329.66</v>
      </c>
      <c r="H313" s="348">
        <f t="shared" si="154"/>
        <v>0</v>
      </c>
      <c r="I313" s="129">
        <v>0</v>
      </c>
      <c r="J313" s="129">
        <v>0</v>
      </c>
      <c r="K313" s="129">
        <v>0</v>
      </c>
      <c r="L313" s="129">
        <v>0</v>
      </c>
      <c r="M313" s="129">
        <v>0</v>
      </c>
      <c r="N313" s="348">
        <v>0</v>
      </c>
      <c r="O313" s="348">
        <v>0</v>
      </c>
      <c r="P313" s="348">
        <v>0</v>
      </c>
      <c r="Q313" s="348">
        <v>0</v>
      </c>
      <c r="R313" s="348">
        <v>0</v>
      </c>
      <c r="S313" s="348">
        <v>0</v>
      </c>
      <c r="T313" s="44">
        <v>0</v>
      </c>
      <c r="U313" s="348">
        <v>0</v>
      </c>
      <c r="V313" s="79" t="s">
        <v>998</v>
      </c>
      <c r="W313" s="15">
        <v>626.12</v>
      </c>
      <c r="X313" s="348">
        <v>1896559</v>
      </c>
      <c r="Y313" s="351">
        <v>0</v>
      </c>
      <c r="Z313" s="351">
        <v>0</v>
      </c>
      <c r="AA313" s="351">
        <v>0</v>
      </c>
      <c r="AB313" s="351">
        <v>0</v>
      </c>
      <c r="AC313" s="351">
        <v>0</v>
      </c>
      <c r="AD313" s="351">
        <v>0</v>
      </c>
      <c r="AE313" s="351">
        <v>0</v>
      </c>
      <c r="AF313" s="351">
        <v>0</v>
      </c>
      <c r="AG313" s="351">
        <v>0</v>
      </c>
      <c r="AH313" s="351">
        <v>0</v>
      </c>
      <c r="AI313" s="351">
        <v>0</v>
      </c>
      <c r="AJ313" s="351">
        <v>49763.75</v>
      </c>
      <c r="AK313" s="351">
        <v>25006.91</v>
      </c>
      <c r="AL313" s="351">
        <v>0</v>
      </c>
      <c r="AM313" s="352"/>
      <c r="AN313" s="352"/>
    </row>
    <row r="314" spans="1:40" s="19" customFormat="1" ht="24.75" hidden="1" customHeight="1">
      <c r="A314" s="606" t="s">
        <v>9</v>
      </c>
      <c r="B314" s="606"/>
      <c r="C314" s="79">
        <f>SUM(C312:C313)</f>
        <v>1263.8000000000002</v>
      </c>
      <c r="D314" s="249"/>
      <c r="E314" s="225"/>
      <c r="F314" s="225"/>
      <c r="G314" s="79">
        <f>ROUND(SUM(G312:G313),2)</f>
        <v>4253401.57</v>
      </c>
      <c r="H314" s="79">
        <f t="shared" ref="H314:AL314" si="155">SUM(H312:H313)</f>
        <v>0</v>
      </c>
      <c r="I314" s="79">
        <f t="shared" si="155"/>
        <v>0</v>
      </c>
      <c r="J314" s="79">
        <f t="shared" si="155"/>
        <v>0</v>
      </c>
      <c r="K314" s="79">
        <f t="shared" si="155"/>
        <v>0</v>
      </c>
      <c r="L314" s="79">
        <f t="shared" si="155"/>
        <v>0</v>
      </c>
      <c r="M314" s="79">
        <f t="shared" si="155"/>
        <v>0</v>
      </c>
      <c r="N314" s="79">
        <f t="shared" si="155"/>
        <v>0</v>
      </c>
      <c r="O314" s="79">
        <f t="shared" si="155"/>
        <v>0</v>
      </c>
      <c r="P314" s="79">
        <f t="shared" si="155"/>
        <v>0</v>
      </c>
      <c r="Q314" s="79">
        <f t="shared" si="155"/>
        <v>0</v>
      </c>
      <c r="R314" s="79">
        <f t="shared" si="155"/>
        <v>0</v>
      </c>
      <c r="S314" s="79">
        <f t="shared" si="155"/>
        <v>0</v>
      </c>
      <c r="T314" s="102">
        <v>0</v>
      </c>
      <c r="U314" s="79">
        <f t="shared" si="155"/>
        <v>0</v>
      </c>
      <c r="V314" s="225" t="s">
        <v>387</v>
      </c>
      <c r="W314" s="79">
        <f t="shared" si="155"/>
        <v>1238.1199999999999</v>
      </c>
      <c r="X314" s="79">
        <f t="shared" si="155"/>
        <v>4110776</v>
      </c>
      <c r="Y314" s="79">
        <f t="shared" si="155"/>
        <v>0</v>
      </c>
      <c r="Z314" s="79">
        <f t="shared" si="155"/>
        <v>0</v>
      </c>
      <c r="AA314" s="79">
        <f t="shared" si="155"/>
        <v>0</v>
      </c>
      <c r="AB314" s="79">
        <f t="shared" si="155"/>
        <v>0</v>
      </c>
      <c r="AC314" s="79">
        <f t="shared" si="155"/>
        <v>0</v>
      </c>
      <c r="AD314" s="79">
        <f t="shared" si="155"/>
        <v>0</v>
      </c>
      <c r="AE314" s="79">
        <f t="shared" si="155"/>
        <v>0</v>
      </c>
      <c r="AF314" s="79">
        <f t="shared" si="155"/>
        <v>0</v>
      </c>
      <c r="AG314" s="79">
        <f t="shared" si="155"/>
        <v>0</v>
      </c>
      <c r="AH314" s="79">
        <f t="shared" si="155"/>
        <v>0</v>
      </c>
      <c r="AI314" s="79">
        <f t="shared" si="155"/>
        <v>0</v>
      </c>
      <c r="AJ314" s="79">
        <f t="shared" si="155"/>
        <v>94924.709999999992</v>
      </c>
      <c r="AK314" s="79">
        <f t="shared" si="155"/>
        <v>47700.86</v>
      </c>
      <c r="AL314" s="79">
        <f t="shared" si="155"/>
        <v>0</v>
      </c>
      <c r="AM314" s="352"/>
      <c r="AN314" s="352"/>
    </row>
    <row r="315" spans="1:40" s="19" customFormat="1" ht="12" hidden="1" customHeight="1">
      <c r="A315" s="514" t="s">
        <v>10</v>
      </c>
      <c r="B315" s="515"/>
      <c r="C315" s="515"/>
      <c r="D315" s="515"/>
      <c r="E315" s="515"/>
      <c r="F315" s="515"/>
      <c r="G315" s="515"/>
      <c r="H315" s="515"/>
      <c r="I315" s="515"/>
      <c r="J315" s="515"/>
      <c r="K315" s="515"/>
      <c r="L315" s="515"/>
      <c r="M315" s="515"/>
      <c r="N315" s="515"/>
      <c r="O315" s="515"/>
      <c r="P315" s="515"/>
      <c r="Q315" s="515"/>
      <c r="R315" s="515"/>
      <c r="S315" s="515"/>
      <c r="T315" s="515"/>
      <c r="U315" s="515"/>
      <c r="V315" s="515"/>
      <c r="W315" s="515"/>
      <c r="X315" s="515"/>
      <c r="Y315" s="515"/>
      <c r="Z315" s="515"/>
      <c r="AA315" s="515"/>
      <c r="AB315" s="515"/>
      <c r="AC315" s="515"/>
      <c r="AD315" s="515"/>
      <c r="AE315" s="515"/>
      <c r="AF315" s="515"/>
      <c r="AG315" s="515"/>
      <c r="AH315" s="515"/>
      <c r="AI315" s="515"/>
      <c r="AJ315" s="515"/>
      <c r="AK315" s="515"/>
      <c r="AL315" s="516"/>
      <c r="AM315" s="352"/>
      <c r="AN315" s="352"/>
    </row>
    <row r="316" spans="1:40" s="19" customFormat="1" ht="9" hidden="1" customHeight="1">
      <c r="A316" s="78">
        <v>245</v>
      </c>
      <c r="B316" s="82" t="s">
        <v>941</v>
      </c>
      <c r="C316" s="79">
        <v>366.6</v>
      </c>
      <c r="D316" s="343"/>
      <c r="E316" s="79"/>
      <c r="F316" s="79"/>
      <c r="G316" s="117">
        <f t="shared" ref="G316:G318" si="156">ROUND(H316+U316+X316+Z316+AB316+AD316+AF316+AH316+AI316+AJ316+AK316+AL316,2)</f>
        <v>1097935.54</v>
      </c>
      <c r="H316" s="348">
        <f t="shared" ref="H316:H318" si="157">I316+K316+M316+O316+Q316+S316</f>
        <v>0</v>
      </c>
      <c r="I316" s="129">
        <v>0</v>
      </c>
      <c r="J316" s="129">
        <v>0</v>
      </c>
      <c r="K316" s="129">
        <v>0</v>
      </c>
      <c r="L316" s="129">
        <v>0</v>
      </c>
      <c r="M316" s="129">
        <v>0</v>
      </c>
      <c r="N316" s="348">
        <v>0</v>
      </c>
      <c r="O316" s="348">
        <v>0</v>
      </c>
      <c r="P316" s="348">
        <v>0</v>
      </c>
      <c r="Q316" s="348">
        <v>0</v>
      </c>
      <c r="R316" s="348">
        <v>0</v>
      </c>
      <c r="S316" s="348">
        <v>0</v>
      </c>
      <c r="T316" s="44">
        <v>0</v>
      </c>
      <c r="U316" s="348">
        <v>0</v>
      </c>
      <c r="V316" s="79" t="s">
        <v>998</v>
      </c>
      <c r="W316" s="15">
        <v>363.2</v>
      </c>
      <c r="X316" s="348">
        <v>1073568</v>
      </c>
      <c r="Y316" s="351">
        <v>0</v>
      </c>
      <c r="Z316" s="351">
        <v>0</v>
      </c>
      <c r="AA316" s="351">
        <v>0</v>
      </c>
      <c r="AB316" s="351">
        <v>0</v>
      </c>
      <c r="AC316" s="351">
        <v>0</v>
      </c>
      <c r="AD316" s="351">
        <v>0</v>
      </c>
      <c r="AE316" s="351">
        <v>0</v>
      </c>
      <c r="AF316" s="351">
        <v>0</v>
      </c>
      <c r="AG316" s="351">
        <v>0</v>
      </c>
      <c r="AH316" s="351">
        <v>0</v>
      </c>
      <c r="AI316" s="351">
        <v>0</v>
      </c>
      <c r="AJ316" s="351">
        <v>16217.86</v>
      </c>
      <c r="AK316" s="351">
        <v>8149.68</v>
      </c>
      <c r="AL316" s="351">
        <v>0</v>
      </c>
      <c r="AM316" s="223"/>
      <c r="AN316" s="223"/>
    </row>
    <row r="317" spans="1:40" s="19" customFormat="1" ht="9" hidden="1" customHeight="1">
      <c r="A317" s="78">
        <v>246</v>
      </c>
      <c r="B317" s="82" t="s">
        <v>942</v>
      </c>
      <c r="C317" s="79">
        <v>844.1</v>
      </c>
      <c r="D317" s="343"/>
      <c r="E317" s="79"/>
      <c r="F317" s="79"/>
      <c r="G317" s="117">
        <f t="shared" si="156"/>
        <v>3386604.65</v>
      </c>
      <c r="H317" s="348">
        <f t="shared" si="157"/>
        <v>0</v>
      </c>
      <c r="I317" s="129">
        <v>0</v>
      </c>
      <c r="J317" s="129">
        <v>0</v>
      </c>
      <c r="K317" s="129">
        <v>0</v>
      </c>
      <c r="L317" s="129">
        <v>0</v>
      </c>
      <c r="M317" s="129">
        <v>0</v>
      </c>
      <c r="N317" s="348">
        <v>0</v>
      </c>
      <c r="O317" s="348">
        <v>0</v>
      </c>
      <c r="P317" s="348">
        <v>0</v>
      </c>
      <c r="Q317" s="348">
        <v>0</v>
      </c>
      <c r="R317" s="348">
        <v>0</v>
      </c>
      <c r="S317" s="348">
        <v>0</v>
      </c>
      <c r="T317" s="44">
        <v>0</v>
      </c>
      <c r="U317" s="348">
        <v>0</v>
      </c>
      <c r="V317" s="79" t="s">
        <v>998</v>
      </c>
      <c r="W317" s="15">
        <v>829</v>
      </c>
      <c r="X317" s="348">
        <v>3306975</v>
      </c>
      <c r="Y317" s="351">
        <v>0</v>
      </c>
      <c r="Z317" s="351">
        <v>0</v>
      </c>
      <c r="AA317" s="351">
        <v>0</v>
      </c>
      <c r="AB317" s="351">
        <v>0</v>
      </c>
      <c r="AC317" s="351">
        <v>0</v>
      </c>
      <c r="AD317" s="351">
        <v>0</v>
      </c>
      <c r="AE317" s="351">
        <v>0</v>
      </c>
      <c r="AF317" s="351">
        <v>0</v>
      </c>
      <c r="AG317" s="351">
        <v>0</v>
      </c>
      <c r="AH317" s="351">
        <v>0</v>
      </c>
      <c r="AI317" s="351">
        <v>0</v>
      </c>
      <c r="AJ317" s="351">
        <v>52997.66</v>
      </c>
      <c r="AK317" s="351">
        <v>26631.99</v>
      </c>
      <c r="AL317" s="351">
        <v>0</v>
      </c>
      <c r="AM317" s="223"/>
      <c r="AN317" s="223"/>
    </row>
    <row r="318" spans="1:40" s="19" customFormat="1" ht="9" hidden="1" customHeight="1">
      <c r="A318" s="78">
        <v>247</v>
      </c>
      <c r="B318" s="82" t="s">
        <v>943</v>
      </c>
      <c r="C318" s="79">
        <v>335.6</v>
      </c>
      <c r="D318" s="343"/>
      <c r="E318" s="79"/>
      <c r="F318" s="79"/>
      <c r="G318" s="117">
        <f t="shared" si="156"/>
        <v>1046296.79</v>
      </c>
      <c r="H318" s="348">
        <f t="shared" si="157"/>
        <v>0</v>
      </c>
      <c r="I318" s="129">
        <v>0</v>
      </c>
      <c r="J318" s="129">
        <v>0</v>
      </c>
      <c r="K318" s="129">
        <v>0</v>
      </c>
      <c r="L318" s="129">
        <v>0</v>
      </c>
      <c r="M318" s="129">
        <v>0</v>
      </c>
      <c r="N318" s="348">
        <v>0</v>
      </c>
      <c r="O318" s="348">
        <v>0</v>
      </c>
      <c r="P318" s="348">
        <v>0</v>
      </c>
      <c r="Q318" s="348">
        <v>0</v>
      </c>
      <c r="R318" s="348">
        <v>0</v>
      </c>
      <c r="S318" s="348">
        <v>0</v>
      </c>
      <c r="T318" s="44">
        <v>0</v>
      </c>
      <c r="U318" s="348">
        <v>0</v>
      </c>
      <c r="V318" s="79" t="s">
        <v>998</v>
      </c>
      <c r="W318" s="15">
        <v>341</v>
      </c>
      <c r="X318" s="348">
        <v>992050</v>
      </c>
      <c r="Y318" s="351">
        <v>0</v>
      </c>
      <c r="Z318" s="351">
        <v>0</v>
      </c>
      <c r="AA318" s="351">
        <v>0</v>
      </c>
      <c r="AB318" s="351">
        <v>0</v>
      </c>
      <c r="AC318" s="351">
        <v>0</v>
      </c>
      <c r="AD318" s="351">
        <v>0</v>
      </c>
      <c r="AE318" s="351">
        <v>0</v>
      </c>
      <c r="AF318" s="351">
        <v>0</v>
      </c>
      <c r="AG318" s="351">
        <v>0</v>
      </c>
      <c r="AH318" s="351">
        <v>0</v>
      </c>
      <c r="AI318" s="351">
        <v>0</v>
      </c>
      <c r="AJ318" s="351">
        <v>36104.050000000003</v>
      </c>
      <c r="AK318" s="351">
        <v>18142.740000000002</v>
      </c>
      <c r="AL318" s="351">
        <v>0</v>
      </c>
      <c r="AM318" s="223"/>
      <c r="AN318" s="223"/>
    </row>
    <row r="319" spans="1:40" s="19" customFormat="1" ht="36.75" hidden="1" customHeight="1">
      <c r="A319" s="606" t="s">
        <v>11</v>
      </c>
      <c r="B319" s="606"/>
      <c r="C319" s="79">
        <f>SUM(C316:C318)</f>
        <v>1546.3000000000002</v>
      </c>
      <c r="D319" s="249"/>
      <c r="E319" s="225"/>
      <c r="F319" s="225"/>
      <c r="G319" s="79">
        <f>ROUND(SUM(G316:G318),2)</f>
        <v>5530836.9800000004</v>
      </c>
      <c r="H319" s="79">
        <f t="shared" ref="H319:AN319" si="158">SUM(H316:H318)</f>
        <v>0</v>
      </c>
      <c r="I319" s="79">
        <f t="shared" si="158"/>
        <v>0</v>
      </c>
      <c r="J319" s="79">
        <f t="shared" si="158"/>
        <v>0</v>
      </c>
      <c r="K319" s="79">
        <f t="shared" si="158"/>
        <v>0</v>
      </c>
      <c r="L319" s="79">
        <f t="shared" si="158"/>
        <v>0</v>
      </c>
      <c r="M319" s="79">
        <f t="shared" si="158"/>
        <v>0</v>
      </c>
      <c r="N319" s="79">
        <f t="shared" si="158"/>
        <v>0</v>
      </c>
      <c r="O319" s="79">
        <f t="shared" si="158"/>
        <v>0</v>
      </c>
      <c r="P319" s="79">
        <f t="shared" si="158"/>
        <v>0</v>
      </c>
      <c r="Q319" s="79">
        <f t="shared" si="158"/>
        <v>0</v>
      </c>
      <c r="R319" s="79">
        <f t="shared" si="158"/>
        <v>0</v>
      </c>
      <c r="S319" s="79">
        <f t="shared" si="158"/>
        <v>0</v>
      </c>
      <c r="T319" s="102">
        <f t="shared" si="158"/>
        <v>0</v>
      </c>
      <c r="U319" s="79">
        <f t="shared" si="158"/>
        <v>0</v>
      </c>
      <c r="V319" s="225" t="s">
        <v>387</v>
      </c>
      <c r="W319" s="79">
        <f t="shared" si="158"/>
        <v>1533.2</v>
      </c>
      <c r="X319" s="79">
        <f t="shared" si="158"/>
        <v>5372593</v>
      </c>
      <c r="Y319" s="79">
        <f t="shared" si="158"/>
        <v>0</v>
      </c>
      <c r="Z319" s="79">
        <f t="shared" si="158"/>
        <v>0</v>
      </c>
      <c r="AA319" s="79">
        <f t="shared" si="158"/>
        <v>0</v>
      </c>
      <c r="AB319" s="79">
        <f t="shared" si="158"/>
        <v>0</v>
      </c>
      <c r="AC319" s="79">
        <f t="shared" si="158"/>
        <v>0</v>
      </c>
      <c r="AD319" s="79">
        <f t="shared" si="158"/>
        <v>0</v>
      </c>
      <c r="AE319" s="79">
        <f t="shared" si="158"/>
        <v>0</v>
      </c>
      <c r="AF319" s="79">
        <f t="shared" si="158"/>
        <v>0</v>
      </c>
      <c r="AG319" s="79">
        <f t="shared" si="158"/>
        <v>0</v>
      </c>
      <c r="AH319" s="79">
        <f t="shared" si="158"/>
        <v>0</v>
      </c>
      <c r="AI319" s="79">
        <f t="shared" si="158"/>
        <v>0</v>
      </c>
      <c r="AJ319" s="79">
        <f t="shared" si="158"/>
        <v>105319.57</v>
      </c>
      <c r="AK319" s="79">
        <f t="shared" si="158"/>
        <v>52924.41</v>
      </c>
      <c r="AL319" s="79">
        <f t="shared" si="158"/>
        <v>0</v>
      </c>
      <c r="AM319" s="79">
        <f t="shared" si="158"/>
        <v>0</v>
      </c>
      <c r="AN319" s="79">
        <f t="shared" si="158"/>
        <v>0</v>
      </c>
    </row>
    <row r="320" spans="1:40" s="19" customFormat="1" ht="12" hidden="1" customHeight="1">
      <c r="A320" s="514" t="s">
        <v>1047</v>
      </c>
      <c r="B320" s="515"/>
      <c r="C320" s="515"/>
      <c r="D320" s="515"/>
      <c r="E320" s="515"/>
      <c r="F320" s="515"/>
      <c r="G320" s="515"/>
      <c r="H320" s="515"/>
      <c r="I320" s="515"/>
      <c r="J320" s="515"/>
      <c r="K320" s="515"/>
      <c r="L320" s="515"/>
      <c r="M320" s="515"/>
      <c r="N320" s="515"/>
      <c r="O320" s="515"/>
      <c r="P320" s="515"/>
      <c r="Q320" s="515"/>
      <c r="R320" s="515"/>
      <c r="S320" s="515"/>
      <c r="T320" s="515"/>
      <c r="U320" s="515"/>
      <c r="V320" s="515"/>
      <c r="W320" s="515"/>
      <c r="X320" s="515"/>
      <c r="Y320" s="515"/>
      <c r="Z320" s="515"/>
      <c r="AA320" s="515"/>
      <c r="AB320" s="515"/>
      <c r="AC320" s="515"/>
      <c r="AD320" s="515"/>
      <c r="AE320" s="515"/>
      <c r="AF320" s="515"/>
      <c r="AG320" s="515"/>
      <c r="AH320" s="515"/>
      <c r="AI320" s="515"/>
      <c r="AJ320" s="515"/>
      <c r="AK320" s="515"/>
      <c r="AL320" s="516"/>
      <c r="AM320" s="352"/>
      <c r="AN320" s="352"/>
    </row>
    <row r="321" spans="1:40" s="19" customFormat="1" ht="9" hidden="1" customHeight="1">
      <c r="A321" s="78">
        <v>248</v>
      </c>
      <c r="B321" s="345" t="s">
        <v>950</v>
      </c>
      <c r="C321" s="79">
        <v>873.5</v>
      </c>
      <c r="D321" s="343"/>
      <c r="E321" s="225"/>
      <c r="F321" s="225"/>
      <c r="G321" s="117">
        <f>ROUND(H321+U321+X321+Z321+AB321+AD321+AF321+AH321+AI321+AJ321+AK321+AL321,2)</f>
        <v>2636927.4700000002</v>
      </c>
      <c r="H321" s="348">
        <f t="shared" ref="H321" si="159">I321+K321+M321+O321+Q321+S321</f>
        <v>0</v>
      </c>
      <c r="I321" s="129">
        <v>0</v>
      </c>
      <c r="J321" s="129">
        <v>0</v>
      </c>
      <c r="K321" s="129">
        <v>0</v>
      </c>
      <c r="L321" s="129">
        <v>0</v>
      </c>
      <c r="M321" s="129">
        <v>0</v>
      </c>
      <c r="N321" s="348">
        <v>0</v>
      </c>
      <c r="O321" s="348">
        <v>0</v>
      </c>
      <c r="P321" s="348">
        <v>0</v>
      </c>
      <c r="Q321" s="348">
        <v>0</v>
      </c>
      <c r="R321" s="348">
        <v>0</v>
      </c>
      <c r="S321" s="348">
        <v>0</v>
      </c>
      <c r="T321" s="44">
        <v>0</v>
      </c>
      <c r="U321" s="348">
        <v>0</v>
      </c>
      <c r="V321" s="225" t="s">
        <v>997</v>
      </c>
      <c r="W321" s="15">
        <v>753</v>
      </c>
      <c r="X321" s="348">
        <v>2511756</v>
      </c>
      <c r="Y321" s="351">
        <v>0</v>
      </c>
      <c r="Z321" s="351">
        <v>0</v>
      </c>
      <c r="AA321" s="351">
        <v>0</v>
      </c>
      <c r="AB321" s="351">
        <v>0</v>
      </c>
      <c r="AC321" s="351">
        <v>0</v>
      </c>
      <c r="AD321" s="351">
        <v>0</v>
      </c>
      <c r="AE321" s="351">
        <v>0</v>
      </c>
      <c r="AF321" s="351">
        <v>0</v>
      </c>
      <c r="AG321" s="351">
        <v>0</v>
      </c>
      <c r="AH321" s="351">
        <v>0</v>
      </c>
      <c r="AI321" s="351">
        <v>0</v>
      </c>
      <c r="AJ321" s="351">
        <v>83308.100000000006</v>
      </c>
      <c r="AK321" s="351">
        <v>41863.370000000003</v>
      </c>
      <c r="AL321" s="351">
        <v>0</v>
      </c>
      <c r="AM321" s="352"/>
      <c r="AN321" s="352"/>
    </row>
    <row r="322" spans="1:40" s="19" customFormat="1" ht="36.75" hidden="1" customHeight="1">
      <c r="A322" s="606" t="s">
        <v>1048</v>
      </c>
      <c r="B322" s="606"/>
      <c r="C322" s="79">
        <f>SUM(C321)</f>
        <v>873.5</v>
      </c>
      <c r="D322" s="249"/>
      <c r="E322" s="225"/>
      <c r="F322" s="225"/>
      <c r="G322" s="79">
        <f>ROUND(SUM(G321),2)</f>
        <v>2636927.4700000002</v>
      </c>
      <c r="H322" s="79">
        <f t="shared" ref="H322:AL322" si="160">SUM(H321)</f>
        <v>0</v>
      </c>
      <c r="I322" s="79">
        <f t="shared" si="160"/>
        <v>0</v>
      </c>
      <c r="J322" s="79">
        <f t="shared" si="160"/>
        <v>0</v>
      </c>
      <c r="K322" s="79">
        <f t="shared" si="160"/>
        <v>0</v>
      </c>
      <c r="L322" s="79">
        <f t="shared" si="160"/>
        <v>0</v>
      </c>
      <c r="M322" s="79">
        <f t="shared" si="160"/>
        <v>0</v>
      </c>
      <c r="N322" s="79">
        <f t="shared" si="160"/>
        <v>0</v>
      </c>
      <c r="O322" s="79">
        <f t="shared" si="160"/>
        <v>0</v>
      </c>
      <c r="P322" s="79">
        <f t="shared" si="160"/>
        <v>0</v>
      </c>
      <c r="Q322" s="79">
        <f t="shared" si="160"/>
        <v>0</v>
      </c>
      <c r="R322" s="79">
        <f t="shared" si="160"/>
        <v>0</v>
      </c>
      <c r="S322" s="79">
        <f t="shared" si="160"/>
        <v>0</v>
      </c>
      <c r="T322" s="102">
        <f t="shared" si="160"/>
        <v>0</v>
      </c>
      <c r="U322" s="79">
        <f t="shared" si="160"/>
        <v>0</v>
      </c>
      <c r="V322" s="225" t="s">
        <v>387</v>
      </c>
      <c r="W322" s="79">
        <f t="shared" si="160"/>
        <v>753</v>
      </c>
      <c r="X322" s="79">
        <f t="shared" si="160"/>
        <v>2511756</v>
      </c>
      <c r="Y322" s="79">
        <f t="shared" si="160"/>
        <v>0</v>
      </c>
      <c r="Z322" s="79">
        <f t="shared" si="160"/>
        <v>0</v>
      </c>
      <c r="AA322" s="79">
        <f t="shared" si="160"/>
        <v>0</v>
      </c>
      <c r="AB322" s="79">
        <f t="shared" si="160"/>
        <v>0</v>
      </c>
      <c r="AC322" s="79">
        <f t="shared" si="160"/>
        <v>0</v>
      </c>
      <c r="AD322" s="79">
        <f t="shared" si="160"/>
        <v>0</v>
      </c>
      <c r="AE322" s="79">
        <f t="shared" si="160"/>
        <v>0</v>
      </c>
      <c r="AF322" s="79">
        <f t="shared" si="160"/>
        <v>0</v>
      </c>
      <c r="AG322" s="79">
        <f t="shared" si="160"/>
        <v>0</v>
      </c>
      <c r="AH322" s="79">
        <f t="shared" si="160"/>
        <v>0</v>
      </c>
      <c r="AI322" s="79">
        <f t="shared" si="160"/>
        <v>0</v>
      </c>
      <c r="AJ322" s="79">
        <f t="shared" si="160"/>
        <v>83308.100000000006</v>
      </c>
      <c r="AK322" s="79">
        <f t="shared" si="160"/>
        <v>41863.370000000003</v>
      </c>
      <c r="AL322" s="79">
        <f t="shared" si="160"/>
        <v>0</v>
      </c>
      <c r="AM322" s="352"/>
      <c r="AN322" s="352"/>
    </row>
    <row r="323" spans="1:40" s="19" customFormat="1" ht="14.25" hidden="1" customHeight="1">
      <c r="A323" s="514" t="s">
        <v>425</v>
      </c>
      <c r="B323" s="515"/>
      <c r="C323" s="515"/>
      <c r="D323" s="515"/>
      <c r="E323" s="515"/>
      <c r="F323" s="515"/>
      <c r="G323" s="515"/>
      <c r="H323" s="515"/>
      <c r="I323" s="515"/>
      <c r="J323" s="515"/>
      <c r="K323" s="515"/>
      <c r="L323" s="515"/>
      <c r="M323" s="515"/>
      <c r="N323" s="515"/>
      <c r="O323" s="515"/>
      <c r="P323" s="515"/>
      <c r="Q323" s="515"/>
      <c r="R323" s="515"/>
      <c r="S323" s="515"/>
      <c r="T323" s="515"/>
      <c r="U323" s="515"/>
      <c r="V323" s="515"/>
      <c r="W323" s="515"/>
      <c r="X323" s="515"/>
      <c r="Y323" s="515"/>
      <c r="Z323" s="515"/>
      <c r="AA323" s="515"/>
      <c r="AB323" s="515"/>
      <c r="AC323" s="515"/>
      <c r="AD323" s="515"/>
      <c r="AE323" s="515"/>
      <c r="AF323" s="515"/>
      <c r="AG323" s="515"/>
      <c r="AH323" s="515"/>
      <c r="AI323" s="515"/>
      <c r="AJ323" s="515"/>
      <c r="AK323" s="515"/>
      <c r="AL323" s="516"/>
      <c r="AM323" s="352"/>
      <c r="AN323" s="352"/>
    </row>
    <row r="324" spans="1:40" s="19" customFormat="1" ht="9" hidden="1" customHeight="1">
      <c r="A324" s="349">
        <v>249</v>
      </c>
      <c r="B324" s="68" t="s">
        <v>952</v>
      </c>
      <c r="C324" s="348">
        <v>894.2</v>
      </c>
      <c r="D324" s="343"/>
      <c r="E324" s="348"/>
      <c r="F324" s="348"/>
      <c r="G324" s="117">
        <f>ROUND(H324+U324+X324+Z324+AB324+AD324+AF324+AH324+AI324+AJ324+AK324+AL324,2)</f>
        <v>2454167.61</v>
      </c>
      <c r="H324" s="348">
        <f t="shared" ref="H324" si="161">I324+K324+M324+O324+Q324+S324</f>
        <v>0</v>
      </c>
      <c r="I324" s="129">
        <v>0</v>
      </c>
      <c r="J324" s="129">
        <v>0</v>
      </c>
      <c r="K324" s="129">
        <v>0</v>
      </c>
      <c r="L324" s="129">
        <v>0</v>
      </c>
      <c r="M324" s="129">
        <v>0</v>
      </c>
      <c r="N324" s="348">
        <v>0</v>
      </c>
      <c r="O324" s="348">
        <v>0</v>
      </c>
      <c r="P324" s="348">
        <v>0</v>
      </c>
      <c r="Q324" s="348">
        <v>0</v>
      </c>
      <c r="R324" s="348">
        <v>0</v>
      </c>
      <c r="S324" s="348">
        <v>0</v>
      </c>
      <c r="T324" s="44">
        <v>0</v>
      </c>
      <c r="U324" s="348">
        <v>0</v>
      </c>
      <c r="V324" s="225" t="s">
        <v>998</v>
      </c>
      <c r="W324" s="15">
        <v>720</v>
      </c>
      <c r="X324" s="348">
        <v>2374419.6</v>
      </c>
      <c r="Y324" s="351">
        <v>0</v>
      </c>
      <c r="Z324" s="351">
        <v>0</v>
      </c>
      <c r="AA324" s="351">
        <v>0</v>
      </c>
      <c r="AB324" s="351">
        <v>0</v>
      </c>
      <c r="AC324" s="351">
        <v>0</v>
      </c>
      <c r="AD324" s="351">
        <v>0</v>
      </c>
      <c r="AE324" s="351">
        <v>0</v>
      </c>
      <c r="AF324" s="351">
        <v>0</v>
      </c>
      <c r="AG324" s="351">
        <v>0</v>
      </c>
      <c r="AH324" s="351">
        <v>0</v>
      </c>
      <c r="AI324" s="351">
        <v>0</v>
      </c>
      <c r="AJ324" s="351">
        <v>47197.8</v>
      </c>
      <c r="AK324" s="351">
        <v>32550.21</v>
      </c>
      <c r="AL324" s="351">
        <v>0</v>
      </c>
      <c r="AM324" s="352"/>
      <c r="AN324" s="352"/>
    </row>
    <row r="325" spans="1:40" s="19" customFormat="1" ht="37.5" hidden="1" customHeight="1">
      <c r="A325" s="599" t="s">
        <v>426</v>
      </c>
      <c r="B325" s="599"/>
      <c r="C325" s="348">
        <f>SUM(C324)</f>
        <v>894.2</v>
      </c>
      <c r="D325" s="248"/>
      <c r="E325" s="225"/>
      <c r="F325" s="225"/>
      <c r="G325" s="348">
        <f>ROUND(SUM(G324),2)</f>
        <v>2454167.61</v>
      </c>
      <c r="H325" s="348">
        <f t="shared" ref="H325:AL325" si="162">SUM(H324)</f>
        <v>0</v>
      </c>
      <c r="I325" s="348">
        <f t="shared" si="162"/>
        <v>0</v>
      </c>
      <c r="J325" s="348">
        <f t="shared" si="162"/>
        <v>0</v>
      </c>
      <c r="K325" s="348">
        <f t="shared" si="162"/>
        <v>0</v>
      </c>
      <c r="L325" s="348">
        <f t="shared" si="162"/>
        <v>0</v>
      </c>
      <c r="M325" s="348">
        <f t="shared" si="162"/>
        <v>0</v>
      </c>
      <c r="N325" s="348">
        <f t="shared" si="162"/>
        <v>0</v>
      </c>
      <c r="O325" s="348">
        <f t="shared" si="162"/>
        <v>0</v>
      </c>
      <c r="P325" s="348">
        <f t="shared" si="162"/>
        <v>0</v>
      </c>
      <c r="Q325" s="348">
        <f t="shared" si="162"/>
        <v>0</v>
      </c>
      <c r="R325" s="348">
        <f t="shared" si="162"/>
        <v>0</v>
      </c>
      <c r="S325" s="348">
        <f t="shared" si="162"/>
        <v>0</v>
      </c>
      <c r="T325" s="44">
        <f t="shared" si="162"/>
        <v>0</v>
      </c>
      <c r="U325" s="348">
        <f t="shared" si="162"/>
        <v>0</v>
      </c>
      <c r="V325" s="225" t="s">
        <v>387</v>
      </c>
      <c r="W325" s="348">
        <f t="shared" si="162"/>
        <v>720</v>
      </c>
      <c r="X325" s="348">
        <f t="shared" si="162"/>
        <v>2374419.6</v>
      </c>
      <c r="Y325" s="348">
        <f t="shared" si="162"/>
        <v>0</v>
      </c>
      <c r="Z325" s="348">
        <f t="shared" si="162"/>
        <v>0</v>
      </c>
      <c r="AA325" s="348">
        <f t="shared" si="162"/>
        <v>0</v>
      </c>
      <c r="AB325" s="348">
        <f t="shared" si="162"/>
        <v>0</v>
      </c>
      <c r="AC325" s="348">
        <f t="shared" si="162"/>
        <v>0</v>
      </c>
      <c r="AD325" s="348">
        <f t="shared" si="162"/>
        <v>0</v>
      </c>
      <c r="AE325" s="348">
        <f t="shared" si="162"/>
        <v>0</v>
      </c>
      <c r="AF325" s="348">
        <f t="shared" si="162"/>
        <v>0</v>
      </c>
      <c r="AG325" s="348">
        <f t="shared" si="162"/>
        <v>0</v>
      </c>
      <c r="AH325" s="348">
        <f t="shared" si="162"/>
        <v>0</v>
      </c>
      <c r="AI325" s="348">
        <f t="shared" si="162"/>
        <v>0</v>
      </c>
      <c r="AJ325" s="348">
        <f t="shared" si="162"/>
        <v>47197.8</v>
      </c>
      <c r="AK325" s="348">
        <f t="shared" si="162"/>
        <v>32550.21</v>
      </c>
      <c r="AL325" s="348">
        <f t="shared" si="162"/>
        <v>0</v>
      </c>
      <c r="AM325" s="352"/>
      <c r="AN325" s="352"/>
    </row>
    <row r="326" spans="1:40" s="19" customFormat="1" ht="14.25" hidden="1" customHeight="1">
      <c r="A326" s="514" t="s">
        <v>1068</v>
      </c>
      <c r="B326" s="515"/>
      <c r="C326" s="515"/>
      <c r="D326" s="515"/>
      <c r="E326" s="515"/>
      <c r="F326" s="515"/>
      <c r="G326" s="515"/>
      <c r="H326" s="515"/>
      <c r="I326" s="515"/>
      <c r="J326" s="515"/>
      <c r="K326" s="515"/>
      <c r="L326" s="515"/>
      <c r="M326" s="515"/>
      <c r="N326" s="515"/>
      <c r="O326" s="515"/>
      <c r="P326" s="515"/>
      <c r="Q326" s="515"/>
      <c r="R326" s="515"/>
      <c r="S326" s="515"/>
      <c r="T326" s="515"/>
      <c r="U326" s="515"/>
      <c r="V326" s="515"/>
      <c r="W326" s="515"/>
      <c r="X326" s="515"/>
      <c r="Y326" s="515"/>
      <c r="Z326" s="515"/>
      <c r="AA326" s="515"/>
      <c r="AB326" s="515"/>
      <c r="AC326" s="515"/>
      <c r="AD326" s="515"/>
      <c r="AE326" s="515"/>
      <c r="AF326" s="515"/>
      <c r="AG326" s="515"/>
      <c r="AH326" s="515"/>
      <c r="AI326" s="515"/>
      <c r="AJ326" s="515"/>
      <c r="AK326" s="515"/>
      <c r="AL326" s="516"/>
      <c r="AM326" s="352"/>
      <c r="AN326" s="352"/>
    </row>
    <row r="327" spans="1:40" s="19" customFormat="1" ht="9" hidden="1" customHeight="1">
      <c r="A327" s="349">
        <v>250</v>
      </c>
      <c r="B327" s="346" t="s">
        <v>954</v>
      </c>
      <c r="C327" s="348">
        <v>297.10000000000002</v>
      </c>
      <c r="D327" s="343"/>
      <c r="E327" s="225"/>
      <c r="F327" s="225"/>
      <c r="G327" s="117">
        <f>ROUND(H327+U327+X327+Z327+AB327+AD327+AF327+AH327+AI327+AJ327+AK327+AL327,2)</f>
        <v>1646505.73</v>
      </c>
      <c r="H327" s="348">
        <f t="shared" ref="H327" si="163">I327+K327+M327+O327+Q327+S327</f>
        <v>0</v>
      </c>
      <c r="I327" s="129">
        <v>0</v>
      </c>
      <c r="J327" s="129">
        <v>0</v>
      </c>
      <c r="K327" s="129">
        <v>0</v>
      </c>
      <c r="L327" s="129">
        <v>0</v>
      </c>
      <c r="M327" s="129">
        <v>0</v>
      </c>
      <c r="N327" s="348">
        <v>0</v>
      </c>
      <c r="O327" s="348">
        <v>0</v>
      </c>
      <c r="P327" s="348">
        <v>0</v>
      </c>
      <c r="Q327" s="348">
        <v>0</v>
      </c>
      <c r="R327" s="348">
        <v>0</v>
      </c>
      <c r="S327" s="348">
        <v>0</v>
      </c>
      <c r="T327" s="44">
        <v>0</v>
      </c>
      <c r="U327" s="348">
        <v>0</v>
      </c>
      <c r="V327" s="225" t="s">
        <v>998</v>
      </c>
      <c r="W327" s="14">
        <v>565.29999999999995</v>
      </c>
      <c r="X327" s="348">
        <v>1598640.91</v>
      </c>
      <c r="Y327" s="351">
        <v>0</v>
      </c>
      <c r="Z327" s="351">
        <v>0</v>
      </c>
      <c r="AA327" s="351">
        <v>0</v>
      </c>
      <c r="AB327" s="351">
        <v>0</v>
      </c>
      <c r="AC327" s="351">
        <v>0</v>
      </c>
      <c r="AD327" s="351">
        <v>0</v>
      </c>
      <c r="AE327" s="351">
        <v>0</v>
      </c>
      <c r="AF327" s="351">
        <v>0</v>
      </c>
      <c r="AG327" s="351">
        <v>0</v>
      </c>
      <c r="AH327" s="351">
        <v>0</v>
      </c>
      <c r="AI327" s="351">
        <v>0</v>
      </c>
      <c r="AJ327" s="351">
        <v>31856.52</v>
      </c>
      <c r="AK327" s="351">
        <v>16008.3</v>
      </c>
      <c r="AL327" s="351">
        <v>0</v>
      </c>
      <c r="AM327" s="352"/>
      <c r="AN327" s="352"/>
    </row>
    <row r="328" spans="1:40" s="19" customFormat="1" ht="39" hidden="1" customHeight="1">
      <c r="A328" s="599" t="s">
        <v>1069</v>
      </c>
      <c r="B328" s="599"/>
      <c r="C328" s="348">
        <f>SUM(C327)</f>
        <v>297.10000000000002</v>
      </c>
      <c r="D328" s="348"/>
      <c r="E328" s="225"/>
      <c r="F328" s="225"/>
      <c r="G328" s="348">
        <f>ROUND(SUM(G327),2)</f>
        <v>1646505.73</v>
      </c>
      <c r="H328" s="348">
        <f t="shared" ref="H328:AL328" si="164">SUM(H327)</f>
        <v>0</v>
      </c>
      <c r="I328" s="348">
        <f t="shared" si="164"/>
        <v>0</v>
      </c>
      <c r="J328" s="348">
        <f t="shared" si="164"/>
        <v>0</v>
      </c>
      <c r="K328" s="348">
        <f t="shared" si="164"/>
        <v>0</v>
      </c>
      <c r="L328" s="348">
        <f t="shared" si="164"/>
        <v>0</v>
      </c>
      <c r="M328" s="348">
        <f t="shared" si="164"/>
        <v>0</v>
      </c>
      <c r="N328" s="348">
        <f t="shared" si="164"/>
        <v>0</v>
      </c>
      <c r="O328" s="348">
        <f t="shared" si="164"/>
        <v>0</v>
      </c>
      <c r="P328" s="348">
        <f t="shared" si="164"/>
        <v>0</v>
      </c>
      <c r="Q328" s="348">
        <f t="shared" si="164"/>
        <v>0</v>
      </c>
      <c r="R328" s="348">
        <f t="shared" si="164"/>
        <v>0</v>
      </c>
      <c r="S328" s="348">
        <f t="shared" si="164"/>
        <v>0</v>
      </c>
      <c r="T328" s="44">
        <f t="shared" si="164"/>
        <v>0</v>
      </c>
      <c r="U328" s="348">
        <f t="shared" si="164"/>
        <v>0</v>
      </c>
      <c r="V328" s="225" t="s">
        <v>387</v>
      </c>
      <c r="W328" s="348">
        <f t="shared" si="164"/>
        <v>565.29999999999995</v>
      </c>
      <c r="X328" s="348">
        <f t="shared" si="164"/>
        <v>1598640.91</v>
      </c>
      <c r="Y328" s="348">
        <f t="shared" si="164"/>
        <v>0</v>
      </c>
      <c r="Z328" s="348">
        <f t="shared" si="164"/>
        <v>0</v>
      </c>
      <c r="AA328" s="348">
        <f t="shared" si="164"/>
        <v>0</v>
      </c>
      <c r="AB328" s="348">
        <f t="shared" si="164"/>
        <v>0</v>
      </c>
      <c r="AC328" s="348">
        <f t="shared" si="164"/>
        <v>0</v>
      </c>
      <c r="AD328" s="348">
        <f t="shared" si="164"/>
        <v>0</v>
      </c>
      <c r="AE328" s="348">
        <f t="shared" si="164"/>
        <v>0</v>
      </c>
      <c r="AF328" s="348">
        <f t="shared" si="164"/>
        <v>0</v>
      </c>
      <c r="AG328" s="348">
        <f t="shared" si="164"/>
        <v>0</v>
      </c>
      <c r="AH328" s="348">
        <f t="shared" si="164"/>
        <v>0</v>
      </c>
      <c r="AI328" s="348">
        <f t="shared" si="164"/>
        <v>0</v>
      </c>
      <c r="AJ328" s="348">
        <f t="shared" si="164"/>
        <v>31856.52</v>
      </c>
      <c r="AK328" s="348">
        <f t="shared" si="164"/>
        <v>16008.3</v>
      </c>
      <c r="AL328" s="348">
        <f t="shared" si="164"/>
        <v>0</v>
      </c>
      <c r="AM328" s="352"/>
      <c r="AN328" s="352"/>
    </row>
    <row r="329" spans="1:40" s="19" customFormat="1" ht="12.75" hidden="1" customHeight="1">
      <c r="A329" s="519" t="s">
        <v>28</v>
      </c>
      <c r="B329" s="520"/>
      <c r="C329" s="520"/>
      <c r="D329" s="520"/>
      <c r="E329" s="520"/>
      <c r="F329" s="520"/>
      <c r="G329" s="520"/>
      <c r="H329" s="520"/>
      <c r="I329" s="520"/>
      <c r="J329" s="520"/>
      <c r="K329" s="520"/>
      <c r="L329" s="520"/>
      <c r="M329" s="520"/>
      <c r="N329" s="520"/>
      <c r="O329" s="520"/>
      <c r="P329" s="520"/>
      <c r="Q329" s="520"/>
      <c r="R329" s="520"/>
      <c r="S329" s="520"/>
      <c r="T329" s="520"/>
      <c r="U329" s="520"/>
      <c r="V329" s="520"/>
      <c r="W329" s="520"/>
      <c r="X329" s="520"/>
      <c r="Y329" s="520"/>
      <c r="Z329" s="520"/>
      <c r="AA329" s="520"/>
      <c r="AB329" s="520"/>
      <c r="AC329" s="520"/>
      <c r="AD329" s="520"/>
      <c r="AE329" s="520"/>
      <c r="AF329" s="520"/>
      <c r="AG329" s="520"/>
      <c r="AH329" s="520"/>
      <c r="AI329" s="520"/>
      <c r="AJ329" s="520"/>
      <c r="AK329" s="520"/>
      <c r="AL329" s="521"/>
      <c r="AM329" s="352"/>
      <c r="AN329" s="352"/>
    </row>
    <row r="330" spans="1:40" s="19" customFormat="1" ht="9" hidden="1" customHeight="1">
      <c r="A330" s="349">
        <v>251</v>
      </c>
      <c r="B330" s="68" t="s">
        <v>955</v>
      </c>
      <c r="C330" s="348">
        <v>656</v>
      </c>
      <c r="D330" s="343"/>
      <c r="E330" s="348"/>
      <c r="F330" s="348"/>
      <c r="G330" s="117">
        <f t="shared" ref="G330:G332" si="165">ROUND(H330+U330+X330+Z330+AB330+AD330+AF330+AH330+AI330+AJ330+AK330+AL330,2)</f>
        <v>2255703.0299999998</v>
      </c>
      <c r="H330" s="348">
        <f t="shared" ref="H330:H332" si="166">I330+K330+M330+O330+Q330+S330</f>
        <v>0</v>
      </c>
      <c r="I330" s="129">
        <v>0</v>
      </c>
      <c r="J330" s="129">
        <v>0</v>
      </c>
      <c r="K330" s="129">
        <v>0</v>
      </c>
      <c r="L330" s="129">
        <v>0</v>
      </c>
      <c r="M330" s="129">
        <v>0</v>
      </c>
      <c r="N330" s="348">
        <v>0</v>
      </c>
      <c r="O330" s="348">
        <v>0</v>
      </c>
      <c r="P330" s="348">
        <v>0</v>
      </c>
      <c r="Q330" s="348">
        <v>0</v>
      </c>
      <c r="R330" s="348">
        <v>0</v>
      </c>
      <c r="S330" s="348">
        <v>0</v>
      </c>
      <c r="T330" s="44">
        <v>0</v>
      </c>
      <c r="U330" s="348">
        <v>0</v>
      </c>
      <c r="V330" s="348" t="s">
        <v>998</v>
      </c>
      <c r="W330" s="15">
        <v>701</v>
      </c>
      <c r="X330" s="348">
        <v>2154026.56</v>
      </c>
      <c r="Y330" s="351">
        <v>0</v>
      </c>
      <c r="Z330" s="351">
        <v>0</v>
      </c>
      <c r="AA330" s="351">
        <v>0</v>
      </c>
      <c r="AB330" s="351">
        <v>0</v>
      </c>
      <c r="AC330" s="351">
        <v>0</v>
      </c>
      <c r="AD330" s="351">
        <v>0</v>
      </c>
      <c r="AE330" s="351">
        <v>0</v>
      </c>
      <c r="AF330" s="351">
        <v>0</v>
      </c>
      <c r="AG330" s="351">
        <v>0</v>
      </c>
      <c r="AH330" s="351">
        <v>0</v>
      </c>
      <c r="AI330" s="351">
        <v>0</v>
      </c>
      <c r="AJ330" s="351">
        <v>67670.960000000006</v>
      </c>
      <c r="AK330" s="351">
        <v>34005.51</v>
      </c>
      <c r="AL330" s="351">
        <v>0</v>
      </c>
      <c r="AM330" s="352"/>
      <c r="AN330" s="352"/>
    </row>
    <row r="331" spans="1:40" s="19" customFormat="1" ht="9" hidden="1" customHeight="1">
      <c r="A331" s="349">
        <v>252</v>
      </c>
      <c r="B331" s="68" t="s">
        <v>956</v>
      </c>
      <c r="C331" s="348">
        <v>284.5</v>
      </c>
      <c r="D331" s="343"/>
      <c r="E331" s="348"/>
      <c r="F331" s="348"/>
      <c r="G331" s="117">
        <f t="shared" si="165"/>
        <v>958047.15</v>
      </c>
      <c r="H331" s="348">
        <f t="shared" si="166"/>
        <v>0</v>
      </c>
      <c r="I331" s="129">
        <v>0</v>
      </c>
      <c r="J331" s="129">
        <v>0</v>
      </c>
      <c r="K331" s="129">
        <v>0</v>
      </c>
      <c r="L331" s="129">
        <v>0</v>
      </c>
      <c r="M331" s="129">
        <v>0</v>
      </c>
      <c r="N331" s="348">
        <v>0</v>
      </c>
      <c r="O331" s="348">
        <v>0</v>
      </c>
      <c r="P331" s="348">
        <v>0</v>
      </c>
      <c r="Q331" s="348">
        <v>0</v>
      </c>
      <c r="R331" s="348">
        <v>0</v>
      </c>
      <c r="S331" s="348">
        <v>0</v>
      </c>
      <c r="T331" s="44">
        <v>0</v>
      </c>
      <c r="U331" s="348">
        <v>0</v>
      </c>
      <c r="V331" s="348" t="s">
        <v>998</v>
      </c>
      <c r="W331" s="15">
        <v>402</v>
      </c>
      <c r="X331" s="348">
        <v>919755.3</v>
      </c>
      <c r="Y331" s="351">
        <v>0</v>
      </c>
      <c r="Z331" s="351">
        <v>0</v>
      </c>
      <c r="AA331" s="351">
        <v>0</v>
      </c>
      <c r="AB331" s="351">
        <v>0</v>
      </c>
      <c r="AC331" s="351">
        <v>0</v>
      </c>
      <c r="AD331" s="351">
        <v>0</v>
      </c>
      <c r="AE331" s="351">
        <v>0</v>
      </c>
      <c r="AF331" s="351">
        <v>0</v>
      </c>
      <c r="AG331" s="351">
        <v>0</v>
      </c>
      <c r="AH331" s="351">
        <v>0</v>
      </c>
      <c r="AI331" s="351">
        <v>0</v>
      </c>
      <c r="AJ331" s="351">
        <v>25485.21</v>
      </c>
      <c r="AK331" s="351">
        <v>12806.64</v>
      </c>
      <c r="AL331" s="351">
        <v>0</v>
      </c>
      <c r="AM331" s="352"/>
      <c r="AN331" s="352"/>
    </row>
    <row r="332" spans="1:40" s="19" customFormat="1" ht="9" hidden="1" customHeight="1">
      <c r="A332" s="349">
        <v>253</v>
      </c>
      <c r="B332" s="68" t="s">
        <v>957</v>
      </c>
      <c r="C332" s="348">
        <v>525.6</v>
      </c>
      <c r="D332" s="343"/>
      <c r="E332" s="348"/>
      <c r="F332" s="348"/>
      <c r="G332" s="117">
        <f t="shared" si="165"/>
        <v>1706534.23</v>
      </c>
      <c r="H332" s="348">
        <f t="shared" si="166"/>
        <v>0</v>
      </c>
      <c r="I332" s="129">
        <v>0</v>
      </c>
      <c r="J332" s="129">
        <v>0</v>
      </c>
      <c r="K332" s="129">
        <v>0</v>
      </c>
      <c r="L332" s="129">
        <v>0</v>
      </c>
      <c r="M332" s="129">
        <v>0</v>
      </c>
      <c r="N332" s="348">
        <v>0</v>
      </c>
      <c r="O332" s="348">
        <v>0</v>
      </c>
      <c r="P332" s="348">
        <v>0</v>
      </c>
      <c r="Q332" s="348">
        <v>0</v>
      </c>
      <c r="R332" s="348">
        <v>0</v>
      </c>
      <c r="S332" s="348">
        <v>0</v>
      </c>
      <c r="T332" s="44">
        <v>0</v>
      </c>
      <c r="U332" s="348">
        <v>0</v>
      </c>
      <c r="V332" s="348" t="s">
        <v>998</v>
      </c>
      <c r="W332" s="15">
        <v>488</v>
      </c>
      <c r="X332" s="348">
        <v>1635752.32</v>
      </c>
      <c r="Y332" s="351">
        <v>0</v>
      </c>
      <c r="Z332" s="351">
        <v>0</v>
      </c>
      <c r="AA332" s="351">
        <v>0</v>
      </c>
      <c r="AB332" s="351">
        <v>0</v>
      </c>
      <c r="AC332" s="351">
        <v>0</v>
      </c>
      <c r="AD332" s="351">
        <v>0</v>
      </c>
      <c r="AE332" s="351">
        <v>0</v>
      </c>
      <c r="AF332" s="351">
        <v>0</v>
      </c>
      <c r="AG332" s="351">
        <v>0</v>
      </c>
      <c r="AH332" s="351">
        <v>0</v>
      </c>
      <c r="AI332" s="351">
        <v>0</v>
      </c>
      <c r="AJ332" s="351">
        <v>47109.03</v>
      </c>
      <c r="AK332" s="351">
        <v>23672.880000000001</v>
      </c>
      <c r="AL332" s="351">
        <v>0</v>
      </c>
      <c r="AM332" s="352"/>
      <c r="AN332" s="352"/>
    </row>
    <row r="333" spans="1:40" s="19" customFormat="1" ht="36" hidden="1" customHeight="1">
      <c r="A333" s="599" t="s">
        <v>29</v>
      </c>
      <c r="B333" s="599"/>
      <c r="C333" s="348">
        <f>SUM(C330:C332)</f>
        <v>1466.1</v>
      </c>
      <c r="D333" s="248"/>
      <c r="E333" s="225"/>
      <c r="F333" s="225"/>
      <c r="G333" s="348">
        <f>ROUND(SUM(G330:G332),2)</f>
        <v>4920284.41</v>
      </c>
      <c r="H333" s="348">
        <f t="shared" ref="H333:AN333" si="167">SUM(H330:H332)</f>
        <v>0</v>
      </c>
      <c r="I333" s="348">
        <f t="shared" si="167"/>
        <v>0</v>
      </c>
      <c r="J333" s="348">
        <f t="shared" si="167"/>
        <v>0</v>
      </c>
      <c r="K333" s="348">
        <f t="shared" si="167"/>
        <v>0</v>
      </c>
      <c r="L333" s="348">
        <f t="shared" si="167"/>
        <v>0</v>
      </c>
      <c r="M333" s="348">
        <f t="shared" si="167"/>
        <v>0</v>
      </c>
      <c r="N333" s="348">
        <f t="shared" si="167"/>
        <v>0</v>
      </c>
      <c r="O333" s="348">
        <f t="shared" si="167"/>
        <v>0</v>
      </c>
      <c r="P333" s="348">
        <f t="shared" si="167"/>
        <v>0</v>
      </c>
      <c r="Q333" s="348">
        <f t="shared" si="167"/>
        <v>0</v>
      </c>
      <c r="R333" s="348">
        <f t="shared" si="167"/>
        <v>0</v>
      </c>
      <c r="S333" s="348">
        <f t="shared" si="167"/>
        <v>0</v>
      </c>
      <c r="T333" s="44">
        <f t="shared" si="167"/>
        <v>0</v>
      </c>
      <c r="U333" s="348">
        <f t="shared" si="167"/>
        <v>0</v>
      </c>
      <c r="V333" s="225" t="s">
        <v>387</v>
      </c>
      <c r="W333" s="348">
        <f t="shared" si="167"/>
        <v>1591</v>
      </c>
      <c r="X333" s="348">
        <f t="shared" si="167"/>
        <v>4709534.1800000006</v>
      </c>
      <c r="Y333" s="348">
        <f t="shared" si="167"/>
        <v>0</v>
      </c>
      <c r="Z333" s="348">
        <f t="shared" si="167"/>
        <v>0</v>
      </c>
      <c r="AA333" s="348">
        <f t="shared" si="167"/>
        <v>0</v>
      </c>
      <c r="AB333" s="348">
        <f t="shared" si="167"/>
        <v>0</v>
      </c>
      <c r="AC333" s="348">
        <f t="shared" si="167"/>
        <v>0</v>
      </c>
      <c r="AD333" s="348">
        <f t="shared" si="167"/>
        <v>0</v>
      </c>
      <c r="AE333" s="348">
        <f t="shared" si="167"/>
        <v>0</v>
      </c>
      <c r="AF333" s="348">
        <f t="shared" si="167"/>
        <v>0</v>
      </c>
      <c r="AG333" s="348">
        <f t="shared" si="167"/>
        <v>0</v>
      </c>
      <c r="AH333" s="348">
        <f t="shared" si="167"/>
        <v>0</v>
      </c>
      <c r="AI333" s="348">
        <f t="shared" si="167"/>
        <v>0</v>
      </c>
      <c r="AJ333" s="348">
        <f t="shared" si="167"/>
        <v>140265.20000000001</v>
      </c>
      <c r="AK333" s="348">
        <f t="shared" si="167"/>
        <v>70485.03</v>
      </c>
      <c r="AL333" s="348">
        <f t="shared" si="167"/>
        <v>0</v>
      </c>
      <c r="AM333" s="348">
        <f t="shared" si="167"/>
        <v>0</v>
      </c>
      <c r="AN333" s="348">
        <f t="shared" si="167"/>
        <v>0</v>
      </c>
    </row>
    <row r="334" spans="1:40" s="19" customFormat="1" ht="14.25" hidden="1" customHeight="1">
      <c r="A334" s="519" t="s">
        <v>34</v>
      </c>
      <c r="B334" s="520"/>
      <c r="C334" s="520"/>
      <c r="D334" s="520"/>
      <c r="E334" s="520"/>
      <c r="F334" s="520"/>
      <c r="G334" s="520"/>
      <c r="H334" s="520"/>
      <c r="I334" s="520"/>
      <c r="J334" s="520"/>
      <c r="K334" s="520"/>
      <c r="L334" s="520"/>
      <c r="M334" s="520"/>
      <c r="N334" s="520"/>
      <c r="O334" s="520"/>
      <c r="P334" s="520"/>
      <c r="Q334" s="520"/>
      <c r="R334" s="520"/>
      <c r="S334" s="520"/>
      <c r="T334" s="520"/>
      <c r="U334" s="520"/>
      <c r="V334" s="520"/>
      <c r="W334" s="520"/>
      <c r="X334" s="520"/>
      <c r="Y334" s="520"/>
      <c r="Z334" s="520"/>
      <c r="AA334" s="520"/>
      <c r="AB334" s="520"/>
      <c r="AC334" s="520"/>
      <c r="AD334" s="520"/>
      <c r="AE334" s="520"/>
      <c r="AF334" s="520"/>
      <c r="AG334" s="520"/>
      <c r="AH334" s="520"/>
      <c r="AI334" s="520"/>
      <c r="AJ334" s="520"/>
      <c r="AK334" s="520"/>
      <c r="AL334" s="521"/>
      <c r="AM334" s="352"/>
      <c r="AN334" s="352"/>
    </row>
    <row r="335" spans="1:40" s="19" customFormat="1" ht="9" hidden="1" customHeight="1">
      <c r="A335" s="349">
        <v>254</v>
      </c>
      <c r="B335" s="68" t="s">
        <v>960</v>
      </c>
      <c r="C335" s="348">
        <v>360</v>
      </c>
      <c r="D335" s="343"/>
      <c r="E335" s="348"/>
      <c r="F335" s="348"/>
      <c r="G335" s="117">
        <f t="shared" ref="G335:G340" si="168">ROUND(H335+U335+X335+Z335+AB335+AD335+AF335+AH335+AI335+AJ335+AK335+AL335,2)</f>
        <v>1338057.55</v>
      </c>
      <c r="H335" s="348">
        <f t="shared" ref="H335:H341" si="169">I335+K335+M335+O335+Q335+S335</f>
        <v>0</v>
      </c>
      <c r="I335" s="129">
        <v>0</v>
      </c>
      <c r="J335" s="129">
        <v>0</v>
      </c>
      <c r="K335" s="129">
        <v>0</v>
      </c>
      <c r="L335" s="129">
        <v>0</v>
      </c>
      <c r="M335" s="129">
        <v>0</v>
      </c>
      <c r="N335" s="348">
        <v>0</v>
      </c>
      <c r="O335" s="348">
        <v>0</v>
      </c>
      <c r="P335" s="348">
        <v>0</v>
      </c>
      <c r="Q335" s="348">
        <v>0</v>
      </c>
      <c r="R335" s="348">
        <v>0</v>
      </c>
      <c r="S335" s="348">
        <v>0</v>
      </c>
      <c r="T335" s="44">
        <v>0</v>
      </c>
      <c r="U335" s="348">
        <v>0</v>
      </c>
      <c r="V335" s="348" t="s">
        <v>998</v>
      </c>
      <c r="W335" s="15">
        <v>430</v>
      </c>
      <c r="X335" s="348">
        <v>1278645.6599999999</v>
      </c>
      <c r="Y335" s="351">
        <v>0</v>
      </c>
      <c r="Z335" s="351">
        <v>0</v>
      </c>
      <c r="AA335" s="351">
        <v>0</v>
      </c>
      <c r="AB335" s="351">
        <v>0</v>
      </c>
      <c r="AC335" s="351">
        <v>0</v>
      </c>
      <c r="AD335" s="351">
        <v>0</v>
      </c>
      <c r="AE335" s="351">
        <v>0</v>
      </c>
      <c r="AF335" s="351">
        <v>0</v>
      </c>
      <c r="AG335" s="351">
        <v>0</v>
      </c>
      <c r="AH335" s="351">
        <v>0</v>
      </c>
      <c r="AI335" s="351">
        <v>0</v>
      </c>
      <c r="AJ335" s="351">
        <v>36907.39</v>
      </c>
      <c r="AK335" s="351">
        <v>22504.5</v>
      </c>
      <c r="AL335" s="351">
        <v>0</v>
      </c>
      <c r="AM335" s="352"/>
      <c r="AN335" s="352"/>
    </row>
    <row r="336" spans="1:40" s="19" customFormat="1" ht="9" hidden="1" customHeight="1">
      <c r="A336" s="349">
        <v>255</v>
      </c>
      <c r="B336" s="68" t="s">
        <v>961</v>
      </c>
      <c r="C336" s="348">
        <v>368</v>
      </c>
      <c r="D336" s="343"/>
      <c r="E336" s="348"/>
      <c r="F336" s="348"/>
      <c r="G336" s="117">
        <f t="shared" si="168"/>
        <v>1118482.22</v>
      </c>
      <c r="H336" s="348">
        <f t="shared" si="169"/>
        <v>0</v>
      </c>
      <c r="I336" s="129">
        <v>0</v>
      </c>
      <c r="J336" s="129">
        <v>0</v>
      </c>
      <c r="K336" s="129">
        <v>0</v>
      </c>
      <c r="L336" s="129">
        <v>0</v>
      </c>
      <c r="M336" s="129">
        <v>0</v>
      </c>
      <c r="N336" s="348">
        <v>0</v>
      </c>
      <c r="O336" s="348">
        <v>0</v>
      </c>
      <c r="P336" s="348">
        <v>0</v>
      </c>
      <c r="Q336" s="348">
        <v>0</v>
      </c>
      <c r="R336" s="348">
        <v>0</v>
      </c>
      <c r="S336" s="348">
        <v>0</v>
      </c>
      <c r="T336" s="44">
        <v>0</v>
      </c>
      <c r="U336" s="348">
        <v>0</v>
      </c>
      <c r="V336" s="348" t="s">
        <v>998</v>
      </c>
      <c r="W336" s="15">
        <v>343</v>
      </c>
      <c r="X336" s="348">
        <v>1073197.1599999999</v>
      </c>
      <c r="Y336" s="351">
        <v>0</v>
      </c>
      <c r="Z336" s="351">
        <v>0</v>
      </c>
      <c r="AA336" s="351">
        <v>0</v>
      </c>
      <c r="AB336" s="351">
        <v>0</v>
      </c>
      <c r="AC336" s="351">
        <v>0</v>
      </c>
      <c r="AD336" s="351">
        <v>0</v>
      </c>
      <c r="AE336" s="351">
        <v>0</v>
      </c>
      <c r="AF336" s="351">
        <v>0</v>
      </c>
      <c r="AG336" s="351">
        <v>0</v>
      </c>
      <c r="AH336" s="351">
        <v>0</v>
      </c>
      <c r="AI336" s="351">
        <v>0</v>
      </c>
      <c r="AJ336" s="351">
        <v>28131.63</v>
      </c>
      <c r="AK336" s="351">
        <v>17153.43</v>
      </c>
      <c r="AL336" s="351">
        <v>0</v>
      </c>
      <c r="AM336" s="352"/>
      <c r="AN336" s="352"/>
    </row>
    <row r="337" spans="1:40" s="19" customFormat="1" ht="9" hidden="1" customHeight="1">
      <c r="A337" s="349">
        <v>256</v>
      </c>
      <c r="B337" s="68" t="s">
        <v>962</v>
      </c>
      <c r="C337" s="348">
        <v>373.1</v>
      </c>
      <c r="D337" s="343"/>
      <c r="E337" s="348"/>
      <c r="F337" s="348"/>
      <c r="G337" s="117">
        <f t="shared" si="168"/>
        <v>1237840.31</v>
      </c>
      <c r="H337" s="348">
        <f t="shared" si="169"/>
        <v>0</v>
      </c>
      <c r="I337" s="129">
        <v>0</v>
      </c>
      <c r="J337" s="129">
        <v>0</v>
      </c>
      <c r="K337" s="129">
        <v>0</v>
      </c>
      <c r="L337" s="129">
        <v>0</v>
      </c>
      <c r="M337" s="129">
        <v>0</v>
      </c>
      <c r="N337" s="348">
        <v>0</v>
      </c>
      <c r="O337" s="348">
        <v>0</v>
      </c>
      <c r="P337" s="348">
        <v>0</v>
      </c>
      <c r="Q337" s="348">
        <v>0</v>
      </c>
      <c r="R337" s="348">
        <v>0</v>
      </c>
      <c r="S337" s="348">
        <v>0</v>
      </c>
      <c r="T337" s="44">
        <v>0</v>
      </c>
      <c r="U337" s="348">
        <v>0</v>
      </c>
      <c r="V337" s="348" t="s">
        <v>998</v>
      </c>
      <c r="W337" s="15">
        <v>398</v>
      </c>
      <c r="X337" s="348">
        <v>1190968</v>
      </c>
      <c r="Y337" s="351">
        <v>0</v>
      </c>
      <c r="Z337" s="351">
        <v>0</v>
      </c>
      <c r="AA337" s="351">
        <v>0</v>
      </c>
      <c r="AB337" s="351">
        <v>0</v>
      </c>
      <c r="AC337" s="351">
        <v>0</v>
      </c>
      <c r="AD337" s="351">
        <v>0</v>
      </c>
      <c r="AE337" s="351">
        <v>0</v>
      </c>
      <c r="AF337" s="351">
        <v>0</v>
      </c>
      <c r="AG337" s="351">
        <v>0</v>
      </c>
      <c r="AH337" s="351">
        <v>0</v>
      </c>
      <c r="AI337" s="351">
        <v>0</v>
      </c>
      <c r="AJ337" s="351">
        <v>29117.65</v>
      </c>
      <c r="AK337" s="351">
        <v>17754.66</v>
      </c>
      <c r="AL337" s="351">
        <v>0</v>
      </c>
      <c r="AM337" s="352"/>
      <c r="AN337" s="352"/>
    </row>
    <row r="338" spans="1:40" s="19" customFormat="1" ht="9" hidden="1" customHeight="1">
      <c r="A338" s="349">
        <v>257</v>
      </c>
      <c r="B338" s="68" t="s">
        <v>963</v>
      </c>
      <c r="C338" s="348">
        <v>327.7</v>
      </c>
      <c r="D338" s="343"/>
      <c r="E338" s="348"/>
      <c r="F338" s="348"/>
      <c r="G338" s="117">
        <f t="shared" si="168"/>
        <v>1146816.3700000001</v>
      </c>
      <c r="H338" s="348">
        <f t="shared" si="169"/>
        <v>0</v>
      </c>
      <c r="I338" s="129">
        <v>0</v>
      </c>
      <c r="J338" s="129">
        <v>0</v>
      </c>
      <c r="K338" s="129">
        <v>0</v>
      </c>
      <c r="L338" s="129">
        <v>0</v>
      </c>
      <c r="M338" s="129">
        <v>0</v>
      </c>
      <c r="N338" s="348">
        <v>0</v>
      </c>
      <c r="O338" s="348">
        <v>0</v>
      </c>
      <c r="P338" s="348">
        <v>0</v>
      </c>
      <c r="Q338" s="348">
        <v>0</v>
      </c>
      <c r="R338" s="348">
        <v>0</v>
      </c>
      <c r="S338" s="348">
        <v>0</v>
      </c>
      <c r="T338" s="44">
        <v>0</v>
      </c>
      <c r="U338" s="348">
        <v>0</v>
      </c>
      <c r="V338" s="348" t="s">
        <v>998</v>
      </c>
      <c r="W338" s="15">
        <v>360</v>
      </c>
      <c r="X338" s="348">
        <v>1094585.7</v>
      </c>
      <c r="Y338" s="351">
        <v>0</v>
      </c>
      <c r="Z338" s="351">
        <v>0</v>
      </c>
      <c r="AA338" s="351">
        <v>0</v>
      </c>
      <c r="AB338" s="351">
        <v>0</v>
      </c>
      <c r="AC338" s="351">
        <v>0</v>
      </c>
      <c r="AD338" s="351">
        <v>0</v>
      </c>
      <c r="AE338" s="351">
        <v>0</v>
      </c>
      <c r="AF338" s="351">
        <v>0</v>
      </c>
      <c r="AG338" s="351">
        <v>0</v>
      </c>
      <c r="AH338" s="351">
        <v>0</v>
      </c>
      <c r="AI338" s="351">
        <v>0</v>
      </c>
      <c r="AJ338" s="351">
        <v>34762.22</v>
      </c>
      <c r="AK338" s="351">
        <v>17468.45</v>
      </c>
      <c r="AL338" s="351">
        <v>0</v>
      </c>
      <c r="AM338" s="352"/>
      <c r="AN338" s="352"/>
    </row>
    <row r="339" spans="1:40" s="19" customFormat="1" ht="9" hidden="1" customHeight="1">
      <c r="A339" s="349">
        <v>258</v>
      </c>
      <c r="B339" s="68" t="s">
        <v>964</v>
      </c>
      <c r="C339" s="348">
        <v>136.6</v>
      </c>
      <c r="D339" s="343"/>
      <c r="E339" s="348"/>
      <c r="F339" s="348"/>
      <c r="G339" s="117">
        <f t="shared" si="168"/>
        <v>950358.48</v>
      </c>
      <c r="H339" s="348">
        <f t="shared" si="169"/>
        <v>0</v>
      </c>
      <c r="I339" s="129">
        <v>0</v>
      </c>
      <c r="J339" s="129">
        <v>0</v>
      </c>
      <c r="K339" s="129">
        <v>0</v>
      </c>
      <c r="L339" s="129">
        <v>0</v>
      </c>
      <c r="M339" s="129">
        <v>0</v>
      </c>
      <c r="N339" s="348">
        <v>0</v>
      </c>
      <c r="O339" s="348">
        <v>0</v>
      </c>
      <c r="P339" s="348">
        <v>0</v>
      </c>
      <c r="Q339" s="348">
        <v>0</v>
      </c>
      <c r="R339" s="348">
        <v>0</v>
      </c>
      <c r="S339" s="348">
        <v>0</v>
      </c>
      <c r="T339" s="44">
        <v>0</v>
      </c>
      <c r="U339" s="348">
        <v>0</v>
      </c>
      <c r="V339" s="348" t="s">
        <v>998</v>
      </c>
      <c r="W339" s="15">
        <v>279</v>
      </c>
      <c r="X339" s="348">
        <v>931404.65</v>
      </c>
      <c r="Y339" s="351">
        <v>0</v>
      </c>
      <c r="Z339" s="351">
        <v>0</v>
      </c>
      <c r="AA339" s="351">
        <v>0</v>
      </c>
      <c r="AB339" s="351">
        <v>0</v>
      </c>
      <c r="AC339" s="351">
        <v>0</v>
      </c>
      <c r="AD339" s="351">
        <v>0</v>
      </c>
      <c r="AE339" s="351">
        <v>0</v>
      </c>
      <c r="AF339" s="351">
        <v>0</v>
      </c>
      <c r="AG339" s="351">
        <v>0</v>
      </c>
      <c r="AH339" s="351">
        <v>0</v>
      </c>
      <c r="AI339" s="351">
        <v>0</v>
      </c>
      <c r="AJ339" s="351">
        <v>11774.35</v>
      </c>
      <c r="AK339" s="351">
        <v>7179.48</v>
      </c>
      <c r="AL339" s="351">
        <v>0</v>
      </c>
      <c r="AM339" s="352"/>
      <c r="AN339" s="352"/>
    </row>
    <row r="340" spans="1:40" s="19" customFormat="1" ht="9" hidden="1" customHeight="1">
      <c r="A340" s="349">
        <v>259</v>
      </c>
      <c r="B340" s="68" t="s">
        <v>965</v>
      </c>
      <c r="C340" s="348">
        <v>340.4</v>
      </c>
      <c r="D340" s="343"/>
      <c r="E340" s="348"/>
      <c r="F340" s="348"/>
      <c r="G340" s="117">
        <f t="shared" si="168"/>
        <v>1078411.42</v>
      </c>
      <c r="H340" s="348">
        <f t="shared" si="169"/>
        <v>0</v>
      </c>
      <c r="I340" s="129">
        <v>0</v>
      </c>
      <c r="J340" s="129">
        <v>0</v>
      </c>
      <c r="K340" s="129">
        <v>0</v>
      </c>
      <c r="L340" s="129">
        <v>0</v>
      </c>
      <c r="M340" s="129">
        <v>0</v>
      </c>
      <c r="N340" s="348">
        <v>0</v>
      </c>
      <c r="O340" s="348">
        <v>0</v>
      </c>
      <c r="P340" s="348">
        <v>0</v>
      </c>
      <c r="Q340" s="348">
        <v>0</v>
      </c>
      <c r="R340" s="348">
        <v>0</v>
      </c>
      <c r="S340" s="348">
        <v>0</v>
      </c>
      <c r="T340" s="44">
        <v>0</v>
      </c>
      <c r="U340" s="348">
        <v>0</v>
      </c>
      <c r="V340" s="348" t="s">
        <v>998</v>
      </c>
      <c r="W340" s="15">
        <v>358</v>
      </c>
      <c r="X340" s="348">
        <v>1050364.8700000001</v>
      </c>
      <c r="Y340" s="351">
        <v>0</v>
      </c>
      <c r="Z340" s="351">
        <v>0</v>
      </c>
      <c r="AA340" s="351">
        <v>0</v>
      </c>
      <c r="AB340" s="351">
        <v>0</v>
      </c>
      <c r="AC340" s="351">
        <v>0</v>
      </c>
      <c r="AD340" s="351">
        <v>0</v>
      </c>
      <c r="AE340" s="351">
        <v>0</v>
      </c>
      <c r="AF340" s="351">
        <v>0</v>
      </c>
      <c r="AG340" s="351">
        <v>0</v>
      </c>
      <c r="AH340" s="351">
        <v>0</v>
      </c>
      <c r="AI340" s="351">
        <v>0</v>
      </c>
      <c r="AJ340" s="351">
        <v>17422.86</v>
      </c>
      <c r="AK340" s="351">
        <v>10623.69</v>
      </c>
      <c r="AL340" s="351">
        <v>0</v>
      </c>
      <c r="AM340" s="352"/>
      <c r="AN340" s="352"/>
    </row>
    <row r="341" spans="1:40" s="19" customFormat="1" ht="9" hidden="1" customHeight="1">
      <c r="A341" s="349">
        <v>260</v>
      </c>
      <c r="B341" s="68" t="s">
        <v>966</v>
      </c>
      <c r="C341" s="348">
        <v>601.9</v>
      </c>
      <c r="D341" s="343"/>
      <c r="E341" s="348"/>
      <c r="F341" s="348"/>
      <c r="G341" s="348">
        <v>1005774</v>
      </c>
      <c r="H341" s="348">
        <f t="shared" si="169"/>
        <v>0</v>
      </c>
      <c r="I341" s="129">
        <v>0</v>
      </c>
      <c r="J341" s="129">
        <v>0</v>
      </c>
      <c r="K341" s="129">
        <v>0</v>
      </c>
      <c r="L341" s="129">
        <v>0</v>
      </c>
      <c r="M341" s="129">
        <v>0</v>
      </c>
      <c r="N341" s="348">
        <v>0</v>
      </c>
      <c r="O341" s="348">
        <v>0</v>
      </c>
      <c r="P341" s="348">
        <v>0</v>
      </c>
      <c r="Q341" s="348">
        <v>0</v>
      </c>
      <c r="R341" s="348">
        <v>0</v>
      </c>
      <c r="S341" s="348">
        <v>0</v>
      </c>
      <c r="T341" s="44">
        <v>0</v>
      </c>
      <c r="U341" s="348">
        <v>0</v>
      </c>
      <c r="V341" s="348" t="s">
        <v>998</v>
      </c>
      <c r="W341" s="15">
        <v>311</v>
      </c>
      <c r="X341" s="348">
        <f t="shared" ref="X341" si="170">ROUND(G341/100*95.5,2)</f>
        <v>960514.17</v>
      </c>
      <c r="Y341" s="351">
        <v>0</v>
      </c>
      <c r="Z341" s="351">
        <v>0</v>
      </c>
      <c r="AA341" s="351">
        <v>0</v>
      </c>
      <c r="AB341" s="351">
        <v>0</v>
      </c>
      <c r="AC341" s="351">
        <v>0</v>
      </c>
      <c r="AD341" s="351">
        <v>0</v>
      </c>
      <c r="AE341" s="351">
        <v>0</v>
      </c>
      <c r="AF341" s="351">
        <v>0</v>
      </c>
      <c r="AG341" s="351">
        <v>0</v>
      </c>
      <c r="AH341" s="351">
        <v>0</v>
      </c>
      <c r="AI341" s="351">
        <v>0</v>
      </c>
      <c r="AJ341" s="351">
        <f t="shared" ref="AJ341" si="171">ROUND(G341/100*3,2)</f>
        <v>30173.22</v>
      </c>
      <c r="AK341" s="351">
        <f t="shared" ref="AK341" si="172">ROUND(G341/100*1.5,2)</f>
        <v>15086.61</v>
      </c>
      <c r="AL341" s="351">
        <v>0</v>
      </c>
      <c r="AM341" s="352"/>
      <c r="AN341" s="352"/>
    </row>
    <row r="342" spans="1:40" s="19" customFormat="1" ht="39.75" hidden="1" customHeight="1">
      <c r="A342" s="599" t="s">
        <v>35</v>
      </c>
      <c r="B342" s="599"/>
      <c r="C342" s="348">
        <f>SUM(C335:C341)</f>
        <v>2507.6999999999998</v>
      </c>
      <c r="D342" s="248"/>
      <c r="E342" s="225"/>
      <c r="F342" s="225"/>
      <c r="G342" s="348">
        <f>ROUND(SUM(G335:G341),2)</f>
        <v>7875740.3499999996</v>
      </c>
      <c r="H342" s="348">
        <f t="shared" ref="H342:AL342" si="173">SUM(H335:H341)</f>
        <v>0</v>
      </c>
      <c r="I342" s="348">
        <f t="shared" si="173"/>
        <v>0</v>
      </c>
      <c r="J342" s="348">
        <f t="shared" si="173"/>
        <v>0</v>
      </c>
      <c r="K342" s="348">
        <f t="shared" si="173"/>
        <v>0</v>
      </c>
      <c r="L342" s="348">
        <f t="shared" si="173"/>
        <v>0</v>
      </c>
      <c r="M342" s="348">
        <f t="shared" si="173"/>
        <v>0</v>
      </c>
      <c r="N342" s="348">
        <f t="shared" si="173"/>
        <v>0</v>
      </c>
      <c r="O342" s="348">
        <f t="shared" si="173"/>
        <v>0</v>
      </c>
      <c r="P342" s="348">
        <f t="shared" si="173"/>
        <v>0</v>
      </c>
      <c r="Q342" s="348">
        <f t="shared" si="173"/>
        <v>0</v>
      </c>
      <c r="R342" s="348">
        <f t="shared" si="173"/>
        <v>0</v>
      </c>
      <c r="S342" s="348">
        <f t="shared" si="173"/>
        <v>0</v>
      </c>
      <c r="T342" s="44">
        <f t="shared" si="173"/>
        <v>0</v>
      </c>
      <c r="U342" s="348">
        <f t="shared" si="173"/>
        <v>0</v>
      </c>
      <c r="V342" s="225" t="s">
        <v>387</v>
      </c>
      <c r="W342" s="348">
        <f t="shared" si="173"/>
        <v>2479</v>
      </c>
      <c r="X342" s="348">
        <f t="shared" si="173"/>
        <v>7579680.21</v>
      </c>
      <c r="Y342" s="348">
        <f t="shared" si="173"/>
        <v>0</v>
      </c>
      <c r="Z342" s="348">
        <f t="shared" si="173"/>
        <v>0</v>
      </c>
      <c r="AA342" s="348">
        <f t="shared" si="173"/>
        <v>0</v>
      </c>
      <c r="AB342" s="348">
        <f t="shared" si="173"/>
        <v>0</v>
      </c>
      <c r="AC342" s="348">
        <f t="shared" si="173"/>
        <v>0</v>
      </c>
      <c r="AD342" s="348">
        <f t="shared" si="173"/>
        <v>0</v>
      </c>
      <c r="AE342" s="348">
        <f t="shared" si="173"/>
        <v>0</v>
      </c>
      <c r="AF342" s="348">
        <f t="shared" si="173"/>
        <v>0</v>
      </c>
      <c r="AG342" s="348">
        <f t="shared" si="173"/>
        <v>0</v>
      </c>
      <c r="AH342" s="348">
        <f t="shared" si="173"/>
        <v>0</v>
      </c>
      <c r="AI342" s="348">
        <f t="shared" si="173"/>
        <v>0</v>
      </c>
      <c r="AJ342" s="348">
        <f t="shared" si="173"/>
        <v>188289.32000000004</v>
      </c>
      <c r="AK342" s="348">
        <f t="shared" si="173"/>
        <v>107770.81999999999</v>
      </c>
      <c r="AL342" s="348">
        <f t="shared" si="173"/>
        <v>0</v>
      </c>
      <c r="AM342" s="352"/>
      <c r="AN342" s="352"/>
    </row>
    <row r="343" spans="1:40" s="19" customFormat="1" ht="12.75" hidden="1" customHeight="1">
      <c r="A343" s="519" t="s">
        <v>39</v>
      </c>
      <c r="B343" s="520"/>
      <c r="C343" s="520"/>
      <c r="D343" s="520"/>
      <c r="E343" s="520"/>
      <c r="F343" s="520"/>
      <c r="G343" s="520"/>
      <c r="H343" s="520"/>
      <c r="I343" s="520"/>
      <c r="J343" s="520"/>
      <c r="K343" s="520"/>
      <c r="L343" s="520"/>
      <c r="M343" s="520"/>
      <c r="N343" s="520"/>
      <c r="O343" s="520"/>
      <c r="P343" s="520"/>
      <c r="Q343" s="520"/>
      <c r="R343" s="520"/>
      <c r="S343" s="520"/>
      <c r="T343" s="520"/>
      <c r="U343" s="520"/>
      <c r="V343" s="520"/>
      <c r="W343" s="520"/>
      <c r="X343" s="520"/>
      <c r="Y343" s="520"/>
      <c r="Z343" s="520"/>
      <c r="AA343" s="520"/>
      <c r="AB343" s="520"/>
      <c r="AC343" s="520"/>
      <c r="AD343" s="520"/>
      <c r="AE343" s="520"/>
      <c r="AF343" s="520"/>
      <c r="AG343" s="520"/>
      <c r="AH343" s="520"/>
      <c r="AI343" s="520"/>
      <c r="AJ343" s="520"/>
      <c r="AK343" s="520"/>
      <c r="AL343" s="521"/>
      <c r="AM343" s="352"/>
      <c r="AN343" s="352"/>
    </row>
    <row r="344" spans="1:40" s="19" customFormat="1" ht="9" customHeight="1">
      <c r="A344" s="349">
        <v>1</v>
      </c>
      <c r="B344" s="68" t="s">
        <v>972</v>
      </c>
      <c r="C344" s="348">
        <v>366.74</v>
      </c>
      <c r="D344" s="343"/>
      <c r="E344" s="348"/>
      <c r="F344" s="348"/>
      <c r="G344" s="117">
        <f>ROUND(H344+U344+X344+Z344+AB344+AD344+AF344+AH344+AI344+AJ344+AK344+AL344,2)</f>
        <v>1194178.03</v>
      </c>
      <c r="H344" s="348">
        <f t="shared" ref="H344" si="174">I344+K344+M344+O344+Q344+S344</f>
        <v>0</v>
      </c>
      <c r="I344" s="129">
        <v>0</v>
      </c>
      <c r="J344" s="129">
        <v>0</v>
      </c>
      <c r="K344" s="129">
        <v>0</v>
      </c>
      <c r="L344" s="129">
        <v>0</v>
      </c>
      <c r="M344" s="129">
        <v>0</v>
      </c>
      <c r="N344" s="348">
        <v>0</v>
      </c>
      <c r="O344" s="348">
        <v>0</v>
      </c>
      <c r="P344" s="348">
        <v>0</v>
      </c>
      <c r="Q344" s="348">
        <v>0</v>
      </c>
      <c r="R344" s="348">
        <v>0</v>
      </c>
      <c r="S344" s="348">
        <v>0</v>
      </c>
      <c r="T344" s="44">
        <v>0</v>
      </c>
      <c r="U344" s="348">
        <v>0</v>
      </c>
      <c r="V344" s="348" t="s">
        <v>998</v>
      </c>
      <c r="W344" s="351">
        <v>403.1</v>
      </c>
      <c r="X344" s="348">
        <v>1150379.31</v>
      </c>
      <c r="Y344" s="351">
        <v>0</v>
      </c>
      <c r="Z344" s="351">
        <v>0</v>
      </c>
      <c r="AA344" s="351">
        <v>0</v>
      </c>
      <c r="AB344" s="351">
        <v>0</v>
      </c>
      <c r="AC344" s="351">
        <v>0</v>
      </c>
      <c r="AD344" s="351">
        <v>0</v>
      </c>
      <c r="AE344" s="351">
        <v>0</v>
      </c>
      <c r="AF344" s="351">
        <v>0</v>
      </c>
      <c r="AG344" s="351">
        <v>0</v>
      </c>
      <c r="AH344" s="351">
        <v>0</v>
      </c>
      <c r="AI344" s="351">
        <v>0</v>
      </c>
      <c r="AJ344" s="351">
        <v>27208.3</v>
      </c>
      <c r="AK344" s="351">
        <v>16590.419999999998</v>
      </c>
      <c r="AL344" s="351">
        <v>0</v>
      </c>
      <c r="AM344" s="352"/>
      <c r="AN344" s="352"/>
    </row>
    <row r="345" spans="1:40" s="19" customFormat="1" ht="48.75" hidden="1" customHeight="1">
      <c r="A345" s="599" t="s">
        <v>38</v>
      </c>
      <c r="B345" s="599"/>
      <c r="C345" s="348">
        <f>SUM(C344)</f>
        <v>366.74</v>
      </c>
      <c r="D345" s="248"/>
      <c r="E345" s="225"/>
      <c r="F345" s="225"/>
      <c r="G345" s="348">
        <f>ROUND(SUM(G344),2)</f>
        <v>1194178.03</v>
      </c>
      <c r="H345" s="348">
        <f t="shared" ref="H345:AL345" si="175">SUM(H344)</f>
        <v>0</v>
      </c>
      <c r="I345" s="348">
        <f t="shared" si="175"/>
        <v>0</v>
      </c>
      <c r="J345" s="348">
        <f t="shared" si="175"/>
        <v>0</v>
      </c>
      <c r="K345" s="348">
        <f t="shared" si="175"/>
        <v>0</v>
      </c>
      <c r="L345" s="348">
        <f t="shared" si="175"/>
        <v>0</v>
      </c>
      <c r="M345" s="348">
        <f t="shared" si="175"/>
        <v>0</v>
      </c>
      <c r="N345" s="348">
        <f t="shared" si="175"/>
        <v>0</v>
      </c>
      <c r="O345" s="348">
        <f t="shared" si="175"/>
        <v>0</v>
      </c>
      <c r="P345" s="348">
        <f t="shared" si="175"/>
        <v>0</v>
      </c>
      <c r="Q345" s="348">
        <f t="shared" si="175"/>
        <v>0</v>
      </c>
      <c r="R345" s="348">
        <f t="shared" si="175"/>
        <v>0</v>
      </c>
      <c r="S345" s="348">
        <f t="shared" si="175"/>
        <v>0</v>
      </c>
      <c r="T345" s="44">
        <f t="shared" si="175"/>
        <v>0</v>
      </c>
      <c r="U345" s="348">
        <f t="shared" si="175"/>
        <v>0</v>
      </c>
      <c r="V345" s="225" t="s">
        <v>387</v>
      </c>
      <c r="W345" s="348">
        <f t="shared" si="175"/>
        <v>403.1</v>
      </c>
      <c r="X345" s="348">
        <f t="shared" si="175"/>
        <v>1150379.31</v>
      </c>
      <c r="Y345" s="348">
        <f t="shared" si="175"/>
        <v>0</v>
      </c>
      <c r="Z345" s="348">
        <f t="shared" si="175"/>
        <v>0</v>
      </c>
      <c r="AA345" s="348">
        <f t="shared" si="175"/>
        <v>0</v>
      </c>
      <c r="AB345" s="348">
        <f t="shared" si="175"/>
        <v>0</v>
      </c>
      <c r="AC345" s="348">
        <f t="shared" si="175"/>
        <v>0</v>
      </c>
      <c r="AD345" s="348">
        <f t="shared" si="175"/>
        <v>0</v>
      </c>
      <c r="AE345" s="348">
        <f t="shared" si="175"/>
        <v>0</v>
      </c>
      <c r="AF345" s="348">
        <f t="shared" si="175"/>
        <v>0</v>
      </c>
      <c r="AG345" s="348">
        <f t="shared" si="175"/>
        <v>0</v>
      </c>
      <c r="AH345" s="348">
        <f t="shared" si="175"/>
        <v>0</v>
      </c>
      <c r="AI345" s="348">
        <f t="shared" si="175"/>
        <v>0</v>
      </c>
      <c r="AJ345" s="348">
        <f t="shared" si="175"/>
        <v>27208.3</v>
      </c>
      <c r="AK345" s="348">
        <f t="shared" si="175"/>
        <v>16590.419999999998</v>
      </c>
      <c r="AL345" s="348">
        <f t="shared" si="175"/>
        <v>0</v>
      </c>
      <c r="AM345" s="352"/>
      <c r="AN345" s="352"/>
    </row>
    <row r="346" spans="1:40" s="19" customFormat="1" ht="13.5" hidden="1" customHeight="1">
      <c r="A346" s="519" t="s">
        <v>44</v>
      </c>
      <c r="B346" s="520"/>
      <c r="C346" s="520"/>
      <c r="D346" s="520"/>
      <c r="E346" s="520"/>
      <c r="F346" s="520"/>
      <c r="G346" s="520"/>
      <c r="H346" s="520"/>
      <c r="I346" s="520"/>
      <c r="J346" s="520"/>
      <c r="K346" s="520"/>
      <c r="L346" s="520"/>
      <c r="M346" s="520"/>
      <c r="N346" s="520"/>
      <c r="O346" s="520"/>
      <c r="P346" s="520"/>
      <c r="Q346" s="520"/>
      <c r="R346" s="520"/>
      <c r="S346" s="520"/>
      <c r="T346" s="520"/>
      <c r="U346" s="520"/>
      <c r="V346" s="520"/>
      <c r="W346" s="520"/>
      <c r="X346" s="520"/>
      <c r="Y346" s="520"/>
      <c r="Z346" s="520"/>
      <c r="AA346" s="520"/>
      <c r="AB346" s="520"/>
      <c r="AC346" s="520"/>
      <c r="AD346" s="520"/>
      <c r="AE346" s="520"/>
      <c r="AF346" s="520"/>
      <c r="AG346" s="520"/>
      <c r="AH346" s="520"/>
      <c r="AI346" s="520"/>
      <c r="AJ346" s="520"/>
      <c r="AK346" s="520"/>
      <c r="AL346" s="521"/>
      <c r="AM346" s="352"/>
      <c r="AN346" s="352"/>
    </row>
    <row r="347" spans="1:40" s="19" customFormat="1" ht="9" hidden="1" customHeight="1">
      <c r="A347" s="349">
        <v>262</v>
      </c>
      <c r="B347" s="68" t="s">
        <v>974</v>
      </c>
      <c r="C347" s="348">
        <v>1289.5999999999999</v>
      </c>
      <c r="D347" s="343"/>
      <c r="E347" s="348"/>
      <c r="F347" s="348"/>
      <c r="G347" s="117">
        <f t="shared" ref="G347:G355" si="176">ROUND(H347+U347+X347+Z347+AB347+AD347+AF347+AH347+AI347+AJ347+AK347+AL347,2)</f>
        <v>2194106.4700000002</v>
      </c>
      <c r="H347" s="348">
        <f t="shared" ref="H347:H355" si="177">I347+K347+M347+O347+Q347+S347</f>
        <v>0</v>
      </c>
      <c r="I347" s="129">
        <v>0</v>
      </c>
      <c r="J347" s="129">
        <v>0</v>
      </c>
      <c r="K347" s="129">
        <v>0</v>
      </c>
      <c r="L347" s="129">
        <v>0</v>
      </c>
      <c r="M347" s="129">
        <v>0</v>
      </c>
      <c r="N347" s="348">
        <v>0</v>
      </c>
      <c r="O347" s="348">
        <v>0</v>
      </c>
      <c r="P347" s="348">
        <v>0</v>
      </c>
      <c r="Q347" s="348">
        <v>0</v>
      </c>
      <c r="R347" s="348">
        <v>0</v>
      </c>
      <c r="S347" s="348">
        <v>0</v>
      </c>
      <c r="T347" s="44">
        <v>0</v>
      </c>
      <c r="U347" s="348">
        <v>0</v>
      </c>
      <c r="V347" s="348" t="s">
        <v>998</v>
      </c>
      <c r="W347" s="351">
        <v>578.20000000000005</v>
      </c>
      <c r="X347" s="348">
        <v>2127385.8199999998</v>
      </c>
      <c r="Y347" s="351">
        <v>0</v>
      </c>
      <c r="Z347" s="351">
        <v>0</v>
      </c>
      <c r="AA347" s="351">
        <v>0</v>
      </c>
      <c r="AB347" s="351">
        <v>0</v>
      </c>
      <c r="AC347" s="351">
        <v>0</v>
      </c>
      <c r="AD347" s="351">
        <v>0</v>
      </c>
      <c r="AE347" s="351">
        <v>0</v>
      </c>
      <c r="AF347" s="351">
        <v>0</v>
      </c>
      <c r="AG347" s="351">
        <v>0</v>
      </c>
      <c r="AH347" s="351">
        <v>0</v>
      </c>
      <c r="AI347" s="351">
        <v>0</v>
      </c>
      <c r="AJ347" s="351">
        <v>44406.05</v>
      </c>
      <c r="AK347" s="351">
        <v>22314.6</v>
      </c>
      <c r="AL347" s="351">
        <v>0</v>
      </c>
      <c r="AM347" s="352"/>
      <c r="AN347" s="352"/>
    </row>
    <row r="348" spans="1:40" s="19" customFormat="1" ht="9" hidden="1" customHeight="1">
      <c r="A348" s="349">
        <v>263</v>
      </c>
      <c r="B348" s="68" t="s">
        <v>975</v>
      </c>
      <c r="C348" s="348">
        <v>2562</v>
      </c>
      <c r="D348" s="343"/>
      <c r="E348" s="348"/>
      <c r="F348" s="348"/>
      <c r="G348" s="117">
        <f t="shared" si="176"/>
        <v>3319894.19</v>
      </c>
      <c r="H348" s="348">
        <f t="shared" si="177"/>
        <v>0</v>
      </c>
      <c r="I348" s="129">
        <v>0</v>
      </c>
      <c r="J348" s="129">
        <v>0</v>
      </c>
      <c r="K348" s="129">
        <v>0</v>
      </c>
      <c r="L348" s="129">
        <v>0</v>
      </c>
      <c r="M348" s="129">
        <v>0</v>
      </c>
      <c r="N348" s="348">
        <v>0</v>
      </c>
      <c r="O348" s="348">
        <v>0</v>
      </c>
      <c r="P348" s="348">
        <v>0</v>
      </c>
      <c r="Q348" s="348">
        <v>0</v>
      </c>
      <c r="R348" s="348">
        <v>0</v>
      </c>
      <c r="S348" s="348">
        <v>0</v>
      </c>
      <c r="T348" s="44">
        <v>0</v>
      </c>
      <c r="U348" s="348">
        <v>0</v>
      </c>
      <c r="V348" s="348" t="s">
        <v>997</v>
      </c>
      <c r="W348" s="351">
        <v>820.1</v>
      </c>
      <c r="X348" s="348">
        <v>3209989.72</v>
      </c>
      <c r="Y348" s="351">
        <v>0</v>
      </c>
      <c r="Z348" s="351">
        <v>0</v>
      </c>
      <c r="AA348" s="351">
        <v>0</v>
      </c>
      <c r="AB348" s="351">
        <v>0</v>
      </c>
      <c r="AC348" s="351">
        <v>0</v>
      </c>
      <c r="AD348" s="351">
        <v>0</v>
      </c>
      <c r="AE348" s="351">
        <v>0</v>
      </c>
      <c r="AF348" s="351">
        <v>0</v>
      </c>
      <c r="AG348" s="351">
        <v>0</v>
      </c>
      <c r="AH348" s="351">
        <v>0</v>
      </c>
      <c r="AI348" s="351">
        <v>0</v>
      </c>
      <c r="AJ348" s="351">
        <v>73147.12</v>
      </c>
      <c r="AK348" s="351">
        <v>36757.35</v>
      </c>
      <c r="AL348" s="351">
        <v>0</v>
      </c>
      <c r="AM348" s="352"/>
      <c r="AN348" s="352"/>
    </row>
    <row r="349" spans="1:40" s="19" customFormat="1" ht="9" hidden="1" customHeight="1">
      <c r="A349" s="349">
        <v>264</v>
      </c>
      <c r="B349" s="68" t="s">
        <v>976</v>
      </c>
      <c r="C349" s="348">
        <v>163.6</v>
      </c>
      <c r="D349" s="343"/>
      <c r="E349" s="348"/>
      <c r="F349" s="348"/>
      <c r="G349" s="117">
        <f t="shared" si="176"/>
        <v>689117.42</v>
      </c>
      <c r="H349" s="348">
        <f t="shared" si="177"/>
        <v>0</v>
      </c>
      <c r="I349" s="129">
        <v>0</v>
      </c>
      <c r="J349" s="129">
        <v>0</v>
      </c>
      <c r="K349" s="129">
        <v>0</v>
      </c>
      <c r="L349" s="129">
        <v>0</v>
      </c>
      <c r="M349" s="129">
        <v>0</v>
      </c>
      <c r="N349" s="348">
        <v>0</v>
      </c>
      <c r="O349" s="348">
        <v>0</v>
      </c>
      <c r="P349" s="348">
        <v>0</v>
      </c>
      <c r="Q349" s="348">
        <v>0</v>
      </c>
      <c r="R349" s="348">
        <v>0</v>
      </c>
      <c r="S349" s="348">
        <v>0</v>
      </c>
      <c r="T349" s="44">
        <v>0</v>
      </c>
      <c r="U349" s="348">
        <v>0</v>
      </c>
      <c r="V349" s="348" t="s">
        <v>998</v>
      </c>
      <c r="W349" s="351">
        <v>234</v>
      </c>
      <c r="X349" s="348">
        <v>666449.66</v>
      </c>
      <c r="Y349" s="351">
        <v>0</v>
      </c>
      <c r="Z349" s="351">
        <v>0</v>
      </c>
      <c r="AA349" s="351">
        <v>0</v>
      </c>
      <c r="AB349" s="351">
        <v>0</v>
      </c>
      <c r="AC349" s="351">
        <v>0</v>
      </c>
      <c r="AD349" s="351">
        <v>0</v>
      </c>
      <c r="AE349" s="351">
        <v>0</v>
      </c>
      <c r="AF349" s="351">
        <v>0</v>
      </c>
      <c r="AG349" s="351">
        <v>0</v>
      </c>
      <c r="AH349" s="351">
        <v>0</v>
      </c>
      <c r="AI349" s="351">
        <v>0</v>
      </c>
      <c r="AJ349" s="351">
        <v>14081.49</v>
      </c>
      <c r="AK349" s="351">
        <v>8586.27</v>
      </c>
      <c r="AL349" s="351">
        <v>0</v>
      </c>
      <c r="AM349" s="352"/>
      <c r="AN349" s="352"/>
    </row>
    <row r="350" spans="1:40" s="19" customFormat="1" ht="9" hidden="1" customHeight="1">
      <c r="A350" s="349">
        <v>265</v>
      </c>
      <c r="B350" s="68" t="s">
        <v>977</v>
      </c>
      <c r="C350" s="348">
        <v>363.7</v>
      </c>
      <c r="D350" s="343"/>
      <c r="E350" s="348"/>
      <c r="F350" s="348"/>
      <c r="G350" s="117">
        <f t="shared" si="176"/>
        <v>1048485.18</v>
      </c>
      <c r="H350" s="348">
        <f t="shared" si="177"/>
        <v>0</v>
      </c>
      <c r="I350" s="129">
        <v>0</v>
      </c>
      <c r="J350" s="129">
        <v>0</v>
      </c>
      <c r="K350" s="129">
        <v>0</v>
      </c>
      <c r="L350" s="129">
        <v>0</v>
      </c>
      <c r="M350" s="129">
        <v>0</v>
      </c>
      <c r="N350" s="348">
        <v>0</v>
      </c>
      <c r="O350" s="348">
        <v>0</v>
      </c>
      <c r="P350" s="348">
        <v>0</v>
      </c>
      <c r="Q350" s="348">
        <v>0</v>
      </c>
      <c r="R350" s="348">
        <v>0</v>
      </c>
      <c r="S350" s="348">
        <v>0</v>
      </c>
      <c r="T350" s="44">
        <v>0</v>
      </c>
      <c r="U350" s="348">
        <v>0</v>
      </c>
      <c r="V350" s="348" t="s">
        <v>997</v>
      </c>
      <c r="W350" s="351">
        <v>231.9</v>
      </c>
      <c r="X350" s="348">
        <v>1015009.93</v>
      </c>
      <c r="Y350" s="351">
        <v>0</v>
      </c>
      <c r="Z350" s="351">
        <v>0</v>
      </c>
      <c r="AA350" s="351">
        <v>0</v>
      </c>
      <c r="AB350" s="351">
        <v>0</v>
      </c>
      <c r="AC350" s="351">
        <v>0</v>
      </c>
      <c r="AD350" s="351">
        <v>0</v>
      </c>
      <c r="AE350" s="351">
        <v>0</v>
      </c>
      <c r="AF350" s="351">
        <v>0</v>
      </c>
      <c r="AG350" s="351">
        <v>0</v>
      </c>
      <c r="AH350" s="351">
        <v>0</v>
      </c>
      <c r="AI350" s="351">
        <v>0</v>
      </c>
      <c r="AJ350" s="351">
        <v>22279.52</v>
      </c>
      <c r="AK350" s="351">
        <v>11195.73</v>
      </c>
      <c r="AL350" s="351">
        <v>0</v>
      </c>
      <c r="AM350" s="352"/>
      <c r="AN350" s="352"/>
    </row>
    <row r="351" spans="1:40" s="19" customFormat="1" ht="9" hidden="1" customHeight="1">
      <c r="A351" s="349">
        <v>266</v>
      </c>
      <c r="B351" s="68" t="s">
        <v>978</v>
      </c>
      <c r="C351" s="348">
        <v>551.4</v>
      </c>
      <c r="D351" s="343"/>
      <c r="E351" s="348"/>
      <c r="F351" s="348"/>
      <c r="G351" s="117">
        <f t="shared" si="176"/>
        <v>1703585.39</v>
      </c>
      <c r="H351" s="348">
        <f t="shared" si="177"/>
        <v>0</v>
      </c>
      <c r="I351" s="129">
        <v>0</v>
      </c>
      <c r="J351" s="129">
        <v>0</v>
      </c>
      <c r="K351" s="129">
        <v>0</v>
      </c>
      <c r="L351" s="129">
        <v>0</v>
      </c>
      <c r="M351" s="129">
        <v>0</v>
      </c>
      <c r="N351" s="348">
        <v>0</v>
      </c>
      <c r="O351" s="348">
        <v>0</v>
      </c>
      <c r="P351" s="348">
        <v>0</v>
      </c>
      <c r="Q351" s="348">
        <v>0</v>
      </c>
      <c r="R351" s="348">
        <v>0</v>
      </c>
      <c r="S351" s="348">
        <v>0</v>
      </c>
      <c r="T351" s="44">
        <v>0</v>
      </c>
      <c r="U351" s="348">
        <v>0</v>
      </c>
      <c r="V351" s="348" t="s">
        <v>997</v>
      </c>
      <c r="W351" s="351">
        <v>433</v>
      </c>
      <c r="X351" s="348">
        <v>1645625.79</v>
      </c>
      <c r="Y351" s="351">
        <v>0</v>
      </c>
      <c r="Z351" s="351">
        <v>0</v>
      </c>
      <c r="AA351" s="351">
        <v>0</v>
      </c>
      <c r="AB351" s="351">
        <v>0</v>
      </c>
      <c r="AC351" s="351">
        <v>0</v>
      </c>
      <c r="AD351" s="351">
        <v>0</v>
      </c>
      <c r="AE351" s="351">
        <v>0</v>
      </c>
      <c r="AF351" s="351">
        <v>0</v>
      </c>
      <c r="AG351" s="351">
        <v>0</v>
      </c>
      <c r="AH351" s="351">
        <v>0</v>
      </c>
      <c r="AI351" s="351">
        <v>0</v>
      </c>
      <c r="AJ351" s="351">
        <v>36005.21</v>
      </c>
      <c r="AK351" s="351">
        <v>21954.39</v>
      </c>
      <c r="AL351" s="351">
        <v>0</v>
      </c>
      <c r="AM351" s="352"/>
      <c r="AN351" s="352"/>
    </row>
    <row r="352" spans="1:40" s="19" customFormat="1" ht="9" hidden="1" customHeight="1">
      <c r="A352" s="349">
        <v>267</v>
      </c>
      <c r="B352" s="68" t="s">
        <v>979</v>
      </c>
      <c r="C352" s="348">
        <v>1205</v>
      </c>
      <c r="D352" s="343"/>
      <c r="E352" s="348"/>
      <c r="F352" s="348"/>
      <c r="G352" s="117">
        <f t="shared" si="176"/>
        <v>4012232.7</v>
      </c>
      <c r="H352" s="348">
        <f t="shared" si="177"/>
        <v>0</v>
      </c>
      <c r="I352" s="129">
        <v>0</v>
      </c>
      <c r="J352" s="129">
        <v>0</v>
      </c>
      <c r="K352" s="129">
        <v>0</v>
      </c>
      <c r="L352" s="129">
        <v>0</v>
      </c>
      <c r="M352" s="129">
        <v>0</v>
      </c>
      <c r="N352" s="348">
        <v>0</v>
      </c>
      <c r="O352" s="348">
        <v>0</v>
      </c>
      <c r="P352" s="348">
        <v>0</v>
      </c>
      <c r="Q352" s="348">
        <v>0</v>
      </c>
      <c r="R352" s="348">
        <v>0</v>
      </c>
      <c r="S352" s="348">
        <v>0</v>
      </c>
      <c r="T352" s="44">
        <v>0</v>
      </c>
      <c r="U352" s="348">
        <v>0</v>
      </c>
      <c r="V352" s="348" t="s">
        <v>998</v>
      </c>
      <c r="W352" s="351">
        <v>1080</v>
      </c>
      <c r="X352" s="348">
        <v>3885463.46</v>
      </c>
      <c r="Y352" s="351">
        <v>0</v>
      </c>
      <c r="Z352" s="351">
        <v>0</v>
      </c>
      <c r="AA352" s="351">
        <v>0</v>
      </c>
      <c r="AB352" s="351">
        <v>0</v>
      </c>
      <c r="AC352" s="351">
        <v>0</v>
      </c>
      <c r="AD352" s="351">
        <v>0</v>
      </c>
      <c r="AE352" s="351">
        <v>0</v>
      </c>
      <c r="AF352" s="351">
        <v>0</v>
      </c>
      <c r="AG352" s="351">
        <v>0</v>
      </c>
      <c r="AH352" s="351">
        <v>0</v>
      </c>
      <c r="AI352" s="351">
        <v>0</v>
      </c>
      <c r="AJ352" s="351">
        <v>84371.5</v>
      </c>
      <c r="AK352" s="351">
        <v>42397.74</v>
      </c>
      <c r="AL352" s="351">
        <v>0</v>
      </c>
      <c r="AM352" s="352"/>
      <c r="AN352" s="352"/>
    </row>
    <row r="353" spans="1:40" s="19" customFormat="1" ht="9" hidden="1" customHeight="1">
      <c r="A353" s="349">
        <v>268</v>
      </c>
      <c r="B353" s="68" t="s">
        <v>980</v>
      </c>
      <c r="C353" s="348">
        <v>1758.4</v>
      </c>
      <c r="D353" s="343"/>
      <c r="E353" s="348"/>
      <c r="F353" s="348"/>
      <c r="G353" s="117">
        <f t="shared" si="176"/>
        <v>3171282.28</v>
      </c>
      <c r="H353" s="348">
        <f t="shared" si="177"/>
        <v>0</v>
      </c>
      <c r="I353" s="129">
        <v>0</v>
      </c>
      <c r="J353" s="129">
        <v>0</v>
      </c>
      <c r="K353" s="129">
        <v>0</v>
      </c>
      <c r="L353" s="129">
        <v>0</v>
      </c>
      <c r="M353" s="129">
        <v>0</v>
      </c>
      <c r="N353" s="348">
        <v>0</v>
      </c>
      <c r="O353" s="348">
        <v>0</v>
      </c>
      <c r="P353" s="348">
        <v>0</v>
      </c>
      <c r="Q353" s="348">
        <v>0</v>
      </c>
      <c r="R353" s="348">
        <v>0</v>
      </c>
      <c r="S353" s="348">
        <v>0</v>
      </c>
      <c r="T353" s="44">
        <v>0</v>
      </c>
      <c r="U353" s="348">
        <v>0</v>
      </c>
      <c r="V353" s="348" t="s">
        <v>998</v>
      </c>
      <c r="W353" s="351">
        <v>904.6</v>
      </c>
      <c r="X353" s="348">
        <v>3064819.32</v>
      </c>
      <c r="Y353" s="351">
        <v>0</v>
      </c>
      <c r="Z353" s="351">
        <v>0</v>
      </c>
      <c r="AA353" s="351">
        <v>0</v>
      </c>
      <c r="AB353" s="351">
        <v>0</v>
      </c>
      <c r="AC353" s="351">
        <v>0</v>
      </c>
      <c r="AD353" s="351">
        <v>0</v>
      </c>
      <c r="AE353" s="351">
        <v>0</v>
      </c>
      <c r="AF353" s="351">
        <v>0</v>
      </c>
      <c r="AG353" s="351">
        <v>0</v>
      </c>
      <c r="AH353" s="351">
        <v>0</v>
      </c>
      <c r="AI353" s="351">
        <v>0</v>
      </c>
      <c r="AJ353" s="351">
        <v>70856.62</v>
      </c>
      <c r="AK353" s="351">
        <v>35606.339999999997</v>
      </c>
      <c r="AL353" s="351">
        <v>0</v>
      </c>
      <c r="AM353" s="352"/>
      <c r="AN353" s="352"/>
    </row>
    <row r="354" spans="1:40" s="19" customFormat="1" ht="9" hidden="1" customHeight="1">
      <c r="A354" s="349">
        <v>269</v>
      </c>
      <c r="B354" s="68" t="s">
        <v>981</v>
      </c>
      <c r="C354" s="348">
        <v>565.4</v>
      </c>
      <c r="D354" s="343"/>
      <c r="E354" s="348"/>
      <c r="F354" s="348"/>
      <c r="G354" s="117">
        <f t="shared" si="176"/>
        <v>1544972.05</v>
      </c>
      <c r="H354" s="348">
        <f t="shared" si="177"/>
        <v>0</v>
      </c>
      <c r="I354" s="129">
        <v>0</v>
      </c>
      <c r="J354" s="129">
        <v>0</v>
      </c>
      <c r="K354" s="129">
        <v>0</v>
      </c>
      <c r="L354" s="129">
        <v>0</v>
      </c>
      <c r="M354" s="129">
        <v>0</v>
      </c>
      <c r="N354" s="348">
        <v>0</v>
      </c>
      <c r="O354" s="348">
        <v>0</v>
      </c>
      <c r="P354" s="348">
        <v>0</v>
      </c>
      <c r="Q354" s="348">
        <v>0</v>
      </c>
      <c r="R354" s="348">
        <v>0</v>
      </c>
      <c r="S354" s="348">
        <v>0</v>
      </c>
      <c r="T354" s="44">
        <v>0</v>
      </c>
      <c r="U354" s="348">
        <v>0</v>
      </c>
      <c r="V354" s="348" t="s">
        <v>998</v>
      </c>
      <c r="W354" s="351">
        <v>563</v>
      </c>
      <c r="X354" s="348">
        <v>1464617.18</v>
      </c>
      <c r="Y354" s="351">
        <v>0</v>
      </c>
      <c r="Z354" s="351">
        <v>0</v>
      </c>
      <c r="AA354" s="351">
        <v>0</v>
      </c>
      <c r="AB354" s="351">
        <v>0</v>
      </c>
      <c r="AC354" s="351">
        <v>0</v>
      </c>
      <c r="AD354" s="351">
        <v>0</v>
      </c>
      <c r="AE354" s="351">
        <v>0</v>
      </c>
      <c r="AF354" s="351">
        <v>0</v>
      </c>
      <c r="AG354" s="351">
        <v>0</v>
      </c>
      <c r="AH354" s="351">
        <v>0</v>
      </c>
      <c r="AI354" s="351">
        <v>0</v>
      </c>
      <c r="AJ354" s="351">
        <v>53480.33</v>
      </c>
      <c r="AK354" s="351">
        <v>26874.54</v>
      </c>
      <c r="AL354" s="351">
        <v>0</v>
      </c>
      <c r="AM354" s="352"/>
      <c r="AN354" s="352"/>
    </row>
    <row r="355" spans="1:40" s="19" customFormat="1" ht="9" hidden="1" customHeight="1">
      <c r="A355" s="349">
        <v>270</v>
      </c>
      <c r="B355" s="68" t="s">
        <v>982</v>
      </c>
      <c r="C355" s="348">
        <v>508.1</v>
      </c>
      <c r="D355" s="343"/>
      <c r="E355" s="348"/>
      <c r="F355" s="348"/>
      <c r="G355" s="117">
        <f t="shared" si="176"/>
        <v>1959478.34</v>
      </c>
      <c r="H355" s="348">
        <f t="shared" si="177"/>
        <v>0</v>
      </c>
      <c r="I355" s="129">
        <v>0</v>
      </c>
      <c r="J355" s="129">
        <v>0</v>
      </c>
      <c r="K355" s="129">
        <v>0</v>
      </c>
      <c r="L355" s="129">
        <v>0</v>
      </c>
      <c r="M355" s="129">
        <v>0</v>
      </c>
      <c r="N355" s="348">
        <v>0</v>
      </c>
      <c r="O355" s="348">
        <v>0</v>
      </c>
      <c r="P355" s="348">
        <v>0</v>
      </c>
      <c r="Q355" s="348">
        <v>0</v>
      </c>
      <c r="R355" s="348">
        <v>0</v>
      </c>
      <c r="S355" s="348">
        <v>0</v>
      </c>
      <c r="T355" s="44">
        <v>0</v>
      </c>
      <c r="U355" s="348">
        <v>0</v>
      </c>
      <c r="V355" s="348" t="s">
        <v>998</v>
      </c>
      <c r="W355" s="351">
        <v>513.1</v>
      </c>
      <c r="X355" s="348">
        <v>1886085.62</v>
      </c>
      <c r="Y355" s="351">
        <v>0</v>
      </c>
      <c r="Z355" s="351">
        <v>0</v>
      </c>
      <c r="AA355" s="351">
        <v>0</v>
      </c>
      <c r="AB355" s="351">
        <v>0</v>
      </c>
      <c r="AC355" s="351">
        <v>0</v>
      </c>
      <c r="AD355" s="351">
        <v>0</v>
      </c>
      <c r="AE355" s="351">
        <v>0</v>
      </c>
      <c r="AF355" s="351">
        <v>0</v>
      </c>
      <c r="AG355" s="351">
        <v>0</v>
      </c>
      <c r="AH355" s="351">
        <v>0</v>
      </c>
      <c r="AI355" s="351">
        <v>0</v>
      </c>
      <c r="AJ355" s="351">
        <v>48846.66</v>
      </c>
      <c r="AK355" s="351">
        <v>24546.06</v>
      </c>
      <c r="AL355" s="351">
        <v>0</v>
      </c>
      <c r="AM355" s="352"/>
      <c r="AN355" s="352"/>
    </row>
    <row r="356" spans="1:40" s="19" customFormat="1" ht="9" hidden="1" customHeight="1">
      <c r="A356" s="349">
        <v>271</v>
      </c>
      <c r="B356" s="68" t="s">
        <v>1046</v>
      </c>
      <c r="C356" s="348">
        <v>572</v>
      </c>
      <c r="D356" s="343"/>
      <c r="E356" s="348"/>
      <c r="F356" s="348"/>
      <c r="G356" s="117">
        <f>ROUND(H356+U356+X356+Z356+AB356+AD356+AF356+AH356+AI356+AJ356+AK356+AL356,2)</f>
        <v>1785811.28</v>
      </c>
      <c r="H356" s="348">
        <f t="shared" ref="H356" si="178">I356+K356+M356+O356+Q356+S356</f>
        <v>0</v>
      </c>
      <c r="I356" s="129">
        <v>0</v>
      </c>
      <c r="J356" s="129">
        <v>0</v>
      </c>
      <c r="K356" s="129">
        <v>0</v>
      </c>
      <c r="L356" s="129">
        <v>0</v>
      </c>
      <c r="M356" s="129">
        <v>0</v>
      </c>
      <c r="N356" s="348">
        <v>0</v>
      </c>
      <c r="O356" s="348">
        <v>0</v>
      </c>
      <c r="P356" s="348">
        <v>0</v>
      </c>
      <c r="Q356" s="348">
        <v>0</v>
      </c>
      <c r="R356" s="348">
        <v>0</v>
      </c>
      <c r="S356" s="348">
        <v>0</v>
      </c>
      <c r="T356" s="44">
        <v>0</v>
      </c>
      <c r="U356" s="348">
        <v>0</v>
      </c>
      <c r="V356" s="348" t="s">
        <v>998</v>
      </c>
      <c r="W356" s="351">
        <v>462.4</v>
      </c>
      <c r="X356" s="348">
        <v>1688766.37</v>
      </c>
      <c r="Y356" s="351">
        <v>0</v>
      </c>
      <c r="Z356" s="351">
        <v>0</v>
      </c>
      <c r="AA356" s="351">
        <v>0</v>
      </c>
      <c r="AB356" s="351">
        <v>0</v>
      </c>
      <c r="AC356" s="351">
        <v>0</v>
      </c>
      <c r="AD356" s="351">
        <v>0</v>
      </c>
      <c r="AE356" s="351">
        <v>0</v>
      </c>
      <c r="AF356" s="351">
        <v>0</v>
      </c>
      <c r="AG356" s="351">
        <v>0</v>
      </c>
      <c r="AH356" s="351">
        <v>0</v>
      </c>
      <c r="AI356" s="351">
        <v>0</v>
      </c>
      <c r="AJ356" s="351">
        <v>64588.42</v>
      </c>
      <c r="AK356" s="351">
        <v>32456.49</v>
      </c>
      <c r="AL356" s="351">
        <v>0</v>
      </c>
      <c r="AM356" s="352"/>
      <c r="AN356" s="352"/>
    </row>
    <row r="357" spans="1:40" s="19" customFormat="1" ht="38.25" hidden="1" customHeight="1">
      <c r="A357" s="599" t="s">
        <v>43</v>
      </c>
      <c r="B357" s="599"/>
      <c r="C357" s="348">
        <f>SUM(C347:C356)</f>
        <v>9539.1999999999989</v>
      </c>
      <c r="D357" s="248"/>
      <c r="E357" s="225"/>
      <c r="F357" s="225"/>
      <c r="G357" s="348">
        <f>ROUND(SUM(G347:G356),2)</f>
        <v>21428965.300000001</v>
      </c>
      <c r="H357" s="348">
        <f t="shared" ref="H357:AN357" si="179">SUM(H347:H356)</f>
        <v>0</v>
      </c>
      <c r="I357" s="348">
        <f t="shared" si="179"/>
        <v>0</v>
      </c>
      <c r="J357" s="348">
        <f t="shared" si="179"/>
        <v>0</v>
      </c>
      <c r="K357" s="348">
        <f t="shared" si="179"/>
        <v>0</v>
      </c>
      <c r="L357" s="348">
        <f t="shared" si="179"/>
        <v>0</v>
      </c>
      <c r="M357" s="348">
        <f t="shared" si="179"/>
        <v>0</v>
      </c>
      <c r="N357" s="348">
        <f t="shared" si="179"/>
        <v>0</v>
      </c>
      <c r="O357" s="348">
        <f t="shared" si="179"/>
        <v>0</v>
      </c>
      <c r="P357" s="348">
        <f t="shared" si="179"/>
        <v>0</v>
      </c>
      <c r="Q357" s="348">
        <f t="shared" si="179"/>
        <v>0</v>
      </c>
      <c r="R357" s="348">
        <f t="shared" si="179"/>
        <v>0</v>
      </c>
      <c r="S357" s="348">
        <f t="shared" si="179"/>
        <v>0</v>
      </c>
      <c r="T357" s="44">
        <f t="shared" si="179"/>
        <v>0</v>
      </c>
      <c r="U357" s="348">
        <f t="shared" si="179"/>
        <v>0</v>
      </c>
      <c r="V357" s="225" t="s">
        <v>387</v>
      </c>
      <c r="W357" s="348">
        <f t="shared" si="179"/>
        <v>5820.3</v>
      </c>
      <c r="X357" s="348">
        <f t="shared" si="179"/>
        <v>20654212.870000001</v>
      </c>
      <c r="Y357" s="348">
        <f t="shared" si="179"/>
        <v>0</v>
      </c>
      <c r="Z357" s="348">
        <f t="shared" si="179"/>
        <v>0</v>
      </c>
      <c r="AA357" s="348">
        <f t="shared" si="179"/>
        <v>0</v>
      </c>
      <c r="AB357" s="348">
        <f t="shared" si="179"/>
        <v>0</v>
      </c>
      <c r="AC357" s="348">
        <f t="shared" si="179"/>
        <v>0</v>
      </c>
      <c r="AD357" s="348">
        <f t="shared" si="179"/>
        <v>0</v>
      </c>
      <c r="AE357" s="348">
        <f t="shared" si="179"/>
        <v>0</v>
      </c>
      <c r="AF357" s="348">
        <f t="shared" si="179"/>
        <v>0</v>
      </c>
      <c r="AG357" s="348">
        <f t="shared" si="179"/>
        <v>0</v>
      </c>
      <c r="AH357" s="348">
        <f t="shared" si="179"/>
        <v>0</v>
      </c>
      <c r="AI357" s="348">
        <f t="shared" si="179"/>
        <v>0</v>
      </c>
      <c r="AJ357" s="348">
        <f t="shared" si="179"/>
        <v>512062.92</v>
      </c>
      <c r="AK357" s="348">
        <f t="shared" si="179"/>
        <v>262689.51</v>
      </c>
      <c r="AL357" s="348">
        <f t="shared" si="179"/>
        <v>0</v>
      </c>
      <c r="AM357" s="348">
        <f t="shared" si="179"/>
        <v>0</v>
      </c>
      <c r="AN357" s="348">
        <f t="shared" si="179"/>
        <v>0</v>
      </c>
    </row>
    <row r="358" spans="1:40" s="19" customFormat="1" ht="22.5" hidden="1" customHeight="1">
      <c r="A358" s="519" t="s">
        <v>1021</v>
      </c>
      <c r="B358" s="520"/>
      <c r="C358" s="520"/>
      <c r="D358" s="520"/>
      <c r="E358" s="520"/>
      <c r="F358" s="520"/>
      <c r="G358" s="520"/>
      <c r="H358" s="520"/>
      <c r="I358" s="520"/>
      <c r="J358" s="520"/>
      <c r="K358" s="520"/>
      <c r="L358" s="520"/>
      <c r="M358" s="520"/>
      <c r="N358" s="520"/>
      <c r="O358" s="520"/>
      <c r="P358" s="520"/>
      <c r="Q358" s="520"/>
      <c r="R358" s="520"/>
      <c r="S358" s="520"/>
      <c r="T358" s="520"/>
      <c r="U358" s="520"/>
      <c r="V358" s="520"/>
      <c r="W358" s="520"/>
      <c r="X358" s="520"/>
      <c r="Y358" s="520"/>
      <c r="Z358" s="520"/>
      <c r="AA358" s="520"/>
      <c r="AB358" s="520"/>
      <c r="AC358" s="520"/>
      <c r="AD358" s="520"/>
      <c r="AE358" s="520"/>
      <c r="AF358" s="520"/>
      <c r="AG358" s="520"/>
      <c r="AH358" s="520"/>
      <c r="AI358" s="520"/>
      <c r="AJ358" s="520"/>
      <c r="AK358" s="520"/>
      <c r="AL358" s="521"/>
      <c r="AM358" s="352"/>
      <c r="AN358" s="352"/>
    </row>
    <row r="359" spans="1:40" s="19" customFormat="1" ht="9" hidden="1" customHeight="1">
      <c r="A359" s="503" t="s">
        <v>1018</v>
      </c>
      <c r="B359" s="503"/>
      <c r="C359" s="348">
        <f>C494+C503+C517+C522+C528+C532+C547+C550+C554+C558+C564+C568+C571+C574+C585+C588+C591+C594+C602+C605+C613+C617+C620+C624+C629+C632+C636+C640+C643+C650+C653+C656+C659+C663+C670+C676+C679+C689+C692</f>
        <v>689955.78000000014</v>
      </c>
      <c r="D359" s="348"/>
      <c r="E359" s="348"/>
      <c r="F359" s="348"/>
      <c r="G359" s="348">
        <f t="shared" ref="G359:U359" si="180">ROUND(G494+G503+G517+G522+G528+G532+G547+G550+G554+G558+G564+G568+G571+G574+G585+G588+G591+G594+G602+G605+G613+G617+G620+G624+G629+G632+G636+G640+G643+G650+G653+G656+G659+G663+G670+G676+G679+G689+G692,2)</f>
        <v>787862869.85000002</v>
      </c>
      <c r="H359" s="348">
        <f t="shared" si="180"/>
        <v>23950446.449999999</v>
      </c>
      <c r="I359" s="348">
        <f t="shared" si="180"/>
        <v>3143896.31</v>
      </c>
      <c r="J359" s="348">
        <f t="shared" si="180"/>
        <v>770</v>
      </c>
      <c r="K359" s="348">
        <f t="shared" si="180"/>
        <v>12824656.800000001</v>
      </c>
      <c r="L359" s="348">
        <f t="shared" si="180"/>
        <v>564</v>
      </c>
      <c r="M359" s="348">
        <f t="shared" si="180"/>
        <v>2821262.04</v>
      </c>
      <c r="N359" s="348">
        <f t="shared" si="180"/>
        <v>445</v>
      </c>
      <c r="O359" s="348">
        <f t="shared" si="180"/>
        <v>2596340.36</v>
      </c>
      <c r="P359" s="348">
        <f t="shared" si="180"/>
        <v>0</v>
      </c>
      <c r="Q359" s="348">
        <f t="shared" si="180"/>
        <v>1038078.32</v>
      </c>
      <c r="R359" s="348">
        <f t="shared" si="180"/>
        <v>321</v>
      </c>
      <c r="S359" s="348">
        <f t="shared" si="180"/>
        <v>1526212.62</v>
      </c>
      <c r="T359" s="45">
        <f t="shared" si="180"/>
        <v>9</v>
      </c>
      <c r="U359" s="348">
        <f t="shared" si="180"/>
        <v>16877114.489999998</v>
      </c>
      <c r="V359" s="348" t="s">
        <v>387</v>
      </c>
      <c r="W359" s="348">
        <f t="shared" ref="W359:AN359" si="181">ROUND(W494+W503+W517+W522+W528+W532+W547+W550+W554+W558+W564+W568+W571+W574+W585+W588+W591+W594+W602+W605+W613+W617+W620+W624+W629+W632+W636+W640+W643+W650+W653+W656+W659+W663+W670+W676+W679+W689+W692,2)</f>
        <v>224134.57</v>
      </c>
      <c r="X359" s="348">
        <f t="shared" si="181"/>
        <v>705235020.21000004</v>
      </c>
      <c r="Y359" s="348">
        <f t="shared" si="181"/>
        <v>0</v>
      </c>
      <c r="Z359" s="348">
        <f t="shared" si="181"/>
        <v>0</v>
      </c>
      <c r="AA359" s="348">
        <f t="shared" si="181"/>
        <v>741.6</v>
      </c>
      <c r="AB359" s="348">
        <f t="shared" si="181"/>
        <v>1535707.43</v>
      </c>
      <c r="AC359" s="348">
        <f t="shared" si="181"/>
        <v>0</v>
      </c>
      <c r="AD359" s="348">
        <f t="shared" si="181"/>
        <v>0</v>
      </c>
      <c r="AE359" s="348">
        <f t="shared" si="181"/>
        <v>0</v>
      </c>
      <c r="AF359" s="348">
        <f t="shared" si="181"/>
        <v>0</v>
      </c>
      <c r="AG359" s="348">
        <f t="shared" si="181"/>
        <v>0</v>
      </c>
      <c r="AH359" s="348">
        <f t="shared" si="181"/>
        <v>0</v>
      </c>
      <c r="AI359" s="348">
        <f t="shared" si="181"/>
        <v>4810752.1100000003</v>
      </c>
      <c r="AJ359" s="348">
        <f t="shared" si="181"/>
        <v>23635886.109999999</v>
      </c>
      <c r="AK359" s="348">
        <f t="shared" si="181"/>
        <v>11817943.050000001</v>
      </c>
      <c r="AL359" s="348">
        <f t="shared" si="181"/>
        <v>0</v>
      </c>
      <c r="AM359" s="348">
        <f t="shared" si="181"/>
        <v>0</v>
      </c>
      <c r="AN359" s="348">
        <f t="shared" si="181"/>
        <v>0</v>
      </c>
    </row>
    <row r="360" spans="1:40" s="19" customFormat="1" ht="17.25" hidden="1" customHeight="1">
      <c r="A360" s="519" t="s">
        <v>215</v>
      </c>
      <c r="B360" s="520"/>
      <c r="C360" s="520"/>
      <c r="D360" s="520"/>
      <c r="E360" s="520"/>
      <c r="F360" s="520"/>
      <c r="G360" s="520"/>
      <c r="H360" s="520"/>
      <c r="I360" s="520"/>
      <c r="J360" s="520"/>
      <c r="K360" s="520"/>
      <c r="L360" s="520"/>
      <c r="M360" s="520"/>
      <c r="N360" s="520"/>
      <c r="O360" s="520"/>
      <c r="P360" s="520"/>
      <c r="Q360" s="520"/>
      <c r="R360" s="520"/>
      <c r="S360" s="520"/>
      <c r="T360" s="520"/>
      <c r="U360" s="520"/>
      <c r="V360" s="520"/>
      <c r="W360" s="520"/>
      <c r="X360" s="520"/>
      <c r="Y360" s="520"/>
      <c r="Z360" s="520"/>
      <c r="AA360" s="520"/>
      <c r="AB360" s="520"/>
      <c r="AC360" s="520"/>
      <c r="AD360" s="520"/>
      <c r="AE360" s="520"/>
      <c r="AF360" s="520"/>
      <c r="AG360" s="520"/>
      <c r="AH360" s="520"/>
      <c r="AI360" s="520"/>
      <c r="AJ360" s="520"/>
      <c r="AK360" s="520"/>
      <c r="AL360" s="521"/>
      <c r="AM360" s="352"/>
      <c r="AN360" s="352"/>
    </row>
    <row r="361" spans="1:40" s="19" customFormat="1" ht="9" hidden="1" customHeight="1">
      <c r="A361" s="349">
        <v>1</v>
      </c>
      <c r="B361" s="118" t="s">
        <v>618</v>
      </c>
      <c r="C361" s="343">
        <v>2697.2</v>
      </c>
      <c r="D361" s="343"/>
      <c r="E361" s="257"/>
      <c r="F361" s="257"/>
      <c r="G361" s="123">
        <v>3680292</v>
      </c>
      <c r="H361" s="348">
        <f t="shared" ref="H361" si="182">I361+K361+M361+O361+Q361+S361</f>
        <v>0</v>
      </c>
      <c r="I361" s="129">
        <v>0</v>
      </c>
      <c r="J361" s="129">
        <v>0</v>
      </c>
      <c r="K361" s="129">
        <v>0</v>
      </c>
      <c r="L361" s="129">
        <v>0</v>
      </c>
      <c r="M361" s="129">
        <v>0</v>
      </c>
      <c r="N361" s="348">
        <v>0</v>
      </c>
      <c r="O361" s="348">
        <v>0</v>
      </c>
      <c r="P361" s="348">
        <v>0</v>
      </c>
      <c r="Q361" s="348">
        <v>0</v>
      </c>
      <c r="R361" s="348">
        <v>0</v>
      </c>
      <c r="S361" s="348">
        <v>0</v>
      </c>
      <c r="T361" s="44">
        <v>0</v>
      </c>
      <c r="U361" s="348">
        <v>0</v>
      </c>
      <c r="V361" s="257" t="s">
        <v>998</v>
      </c>
      <c r="W361" s="351">
        <v>1138</v>
      </c>
      <c r="X361" s="348">
        <f t="shared" ref="X361" si="183">ROUND(G361/100*95.5,2)</f>
        <v>3514678.86</v>
      </c>
      <c r="Y361" s="351">
        <v>0</v>
      </c>
      <c r="Z361" s="351">
        <v>0</v>
      </c>
      <c r="AA361" s="351">
        <v>0</v>
      </c>
      <c r="AB361" s="351">
        <v>0</v>
      </c>
      <c r="AC361" s="351">
        <v>0</v>
      </c>
      <c r="AD361" s="351">
        <v>0</v>
      </c>
      <c r="AE361" s="351">
        <v>0</v>
      </c>
      <c r="AF361" s="351">
        <v>0</v>
      </c>
      <c r="AG361" s="351">
        <v>0</v>
      </c>
      <c r="AH361" s="351">
        <v>0</v>
      </c>
      <c r="AI361" s="351">
        <v>0</v>
      </c>
      <c r="AJ361" s="351">
        <f t="shared" ref="AJ361" si="184">ROUND(G361/100*3,2)</f>
        <v>110408.76</v>
      </c>
      <c r="AK361" s="351">
        <f t="shared" ref="AK361" si="185">ROUND(G361/100*1.5,2)</f>
        <v>55204.38</v>
      </c>
      <c r="AL361" s="351">
        <v>0</v>
      </c>
      <c r="AM361" s="352"/>
      <c r="AN361" s="352"/>
    </row>
    <row r="362" spans="1:40" s="19" customFormat="1" ht="9" hidden="1" customHeight="1">
      <c r="A362" s="349">
        <v>2</v>
      </c>
      <c r="B362" s="118" t="s">
        <v>619</v>
      </c>
      <c r="C362" s="343">
        <v>2154.1</v>
      </c>
      <c r="D362" s="343"/>
      <c r="E362" s="257"/>
      <c r="F362" s="257"/>
      <c r="G362" s="123">
        <v>2865324</v>
      </c>
      <c r="H362" s="348">
        <f t="shared" ref="H362:H369" si="186">I362+K362+M362+O362+Q362+S362</f>
        <v>0</v>
      </c>
      <c r="I362" s="129">
        <v>0</v>
      </c>
      <c r="J362" s="129">
        <v>0</v>
      </c>
      <c r="K362" s="129">
        <v>0</v>
      </c>
      <c r="L362" s="129">
        <v>0</v>
      </c>
      <c r="M362" s="129">
        <v>0</v>
      </c>
      <c r="N362" s="348">
        <v>0</v>
      </c>
      <c r="O362" s="348">
        <v>0</v>
      </c>
      <c r="P362" s="348">
        <v>0</v>
      </c>
      <c r="Q362" s="348">
        <v>0</v>
      </c>
      <c r="R362" s="348">
        <v>0</v>
      </c>
      <c r="S362" s="348">
        <v>0</v>
      </c>
      <c r="T362" s="44">
        <v>0</v>
      </c>
      <c r="U362" s="348">
        <v>0</v>
      </c>
      <c r="V362" s="257" t="s">
        <v>997</v>
      </c>
      <c r="W362" s="351">
        <v>886</v>
      </c>
      <c r="X362" s="348">
        <f t="shared" ref="X362:X369" si="187">ROUND(G362/100*95.5,2)</f>
        <v>2736384.42</v>
      </c>
      <c r="Y362" s="351">
        <v>0</v>
      </c>
      <c r="Z362" s="351">
        <v>0</v>
      </c>
      <c r="AA362" s="351">
        <v>0</v>
      </c>
      <c r="AB362" s="351">
        <v>0</v>
      </c>
      <c r="AC362" s="351">
        <v>0</v>
      </c>
      <c r="AD362" s="351">
        <v>0</v>
      </c>
      <c r="AE362" s="351">
        <v>0</v>
      </c>
      <c r="AF362" s="351">
        <v>0</v>
      </c>
      <c r="AG362" s="351">
        <v>0</v>
      </c>
      <c r="AH362" s="351">
        <v>0</v>
      </c>
      <c r="AI362" s="351">
        <v>0</v>
      </c>
      <c r="AJ362" s="351">
        <f t="shared" ref="AJ362:AJ369" si="188">ROUND(G362/100*3,2)</f>
        <v>85959.72</v>
      </c>
      <c r="AK362" s="351">
        <f t="shared" ref="AK362:AK369" si="189">ROUND(G362/100*1.5,2)</f>
        <v>42979.86</v>
      </c>
      <c r="AL362" s="351">
        <v>0</v>
      </c>
      <c r="AM362" s="352"/>
      <c r="AN362" s="352"/>
    </row>
    <row r="363" spans="1:40" s="19" customFormat="1" ht="9" hidden="1" customHeight="1">
      <c r="A363" s="349">
        <v>3</v>
      </c>
      <c r="B363" s="118" t="s">
        <v>620</v>
      </c>
      <c r="C363" s="343">
        <v>4019.9</v>
      </c>
      <c r="D363" s="343"/>
      <c r="E363" s="257"/>
      <c r="F363" s="257"/>
      <c r="G363" s="123">
        <v>4520904</v>
      </c>
      <c r="H363" s="348">
        <f t="shared" si="186"/>
        <v>0</v>
      </c>
      <c r="I363" s="129">
        <v>0</v>
      </c>
      <c r="J363" s="129">
        <v>0</v>
      </c>
      <c r="K363" s="129">
        <v>0</v>
      </c>
      <c r="L363" s="129">
        <v>0</v>
      </c>
      <c r="M363" s="129">
        <v>0</v>
      </c>
      <c r="N363" s="348">
        <v>0</v>
      </c>
      <c r="O363" s="348">
        <v>0</v>
      </c>
      <c r="P363" s="348">
        <v>0</v>
      </c>
      <c r="Q363" s="348">
        <v>0</v>
      </c>
      <c r="R363" s="348">
        <v>0</v>
      </c>
      <c r="S363" s="348">
        <v>0</v>
      </c>
      <c r="T363" s="44">
        <v>0</v>
      </c>
      <c r="U363" s="348">
        <v>0</v>
      </c>
      <c r="V363" s="257" t="s">
        <v>997</v>
      </c>
      <c r="W363" s="351">
        <v>1356</v>
      </c>
      <c r="X363" s="348">
        <f t="shared" si="187"/>
        <v>4317463.32</v>
      </c>
      <c r="Y363" s="351">
        <v>0</v>
      </c>
      <c r="Z363" s="351">
        <v>0</v>
      </c>
      <c r="AA363" s="351">
        <v>0</v>
      </c>
      <c r="AB363" s="351">
        <v>0</v>
      </c>
      <c r="AC363" s="351">
        <v>0</v>
      </c>
      <c r="AD363" s="351">
        <v>0</v>
      </c>
      <c r="AE363" s="351">
        <v>0</v>
      </c>
      <c r="AF363" s="351">
        <v>0</v>
      </c>
      <c r="AG363" s="351">
        <v>0</v>
      </c>
      <c r="AH363" s="351">
        <v>0</v>
      </c>
      <c r="AI363" s="351">
        <v>0</v>
      </c>
      <c r="AJ363" s="351">
        <f t="shared" si="188"/>
        <v>135627.12</v>
      </c>
      <c r="AK363" s="351">
        <f t="shared" si="189"/>
        <v>67813.56</v>
      </c>
      <c r="AL363" s="351">
        <v>0</v>
      </c>
      <c r="AM363" s="352"/>
      <c r="AN363" s="352"/>
    </row>
    <row r="364" spans="1:40" s="19" customFormat="1" ht="9" hidden="1" customHeight="1">
      <c r="A364" s="349">
        <v>4</v>
      </c>
      <c r="B364" s="118" t="s">
        <v>621</v>
      </c>
      <c r="C364" s="343">
        <v>9829.9</v>
      </c>
      <c r="D364" s="343"/>
      <c r="E364" s="257"/>
      <c r="F364" s="257"/>
      <c r="G364" s="123">
        <v>5677802</v>
      </c>
      <c r="H364" s="348">
        <f t="shared" si="186"/>
        <v>0</v>
      </c>
      <c r="I364" s="129">
        <v>0</v>
      </c>
      <c r="J364" s="129">
        <v>0</v>
      </c>
      <c r="K364" s="129">
        <v>0</v>
      </c>
      <c r="L364" s="129">
        <v>0</v>
      </c>
      <c r="M364" s="129">
        <v>0</v>
      </c>
      <c r="N364" s="348">
        <v>0</v>
      </c>
      <c r="O364" s="348">
        <v>0</v>
      </c>
      <c r="P364" s="348">
        <v>0</v>
      </c>
      <c r="Q364" s="348">
        <v>0</v>
      </c>
      <c r="R364" s="348">
        <v>0</v>
      </c>
      <c r="S364" s="348">
        <v>0</v>
      </c>
      <c r="T364" s="44">
        <v>0</v>
      </c>
      <c r="U364" s="348">
        <v>0</v>
      </c>
      <c r="V364" s="257" t="s">
        <v>997</v>
      </c>
      <c r="W364" s="351">
        <v>1703</v>
      </c>
      <c r="X364" s="348">
        <f t="shared" si="187"/>
        <v>5422300.9100000001</v>
      </c>
      <c r="Y364" s="351">
        <v>0</v>
      </c>
      <c r="Z364" s="351">
        <v>0</v>
      </c>
      <c r="AA364" s="351">
        <v>0</v>
      </c>
      <c r="AB364" s="351">
        <v>0</v>
      </c>
      <c r="AC364" s="351">
        <v>0</v>
      </c>
      <c r="AD364" s="351">
        <v>0</v>
      </c>
      <c r="AE364" s="351">
        <v>0</v>
      </c>
      <c r="AF364" s="351">
        <v>0</v>
      </c>
      <c r="AG364" s="351">
        <v>0</v>
      </c>
      <c r="AH364" s="351">
        <v>0</v>
      </c>
      <c r="AI364" s="351">
        <v>0</v>
      </c>
      <c r="AJ364" s="351">
        <f t="shared" si="188"/>
        <v>170334.06</v>
      </c>
      <c r="AK364" s="351">
        <f t="shared" si="189"/>
        <v>85167.03</v>
      </c>
      <c r="AL364" s="351">
        <v>0</v>
      </c>
      <c r="AM364" s="352"/>
      <c r="AN364" s="352"/>
    </row>
    <row r="365" spans="1:40" s="19" customFormat="1" ht="9" hidden="1" customHeight="1">
      <c r="A365" s="349">
        <v>5</v>
      </c>
      <c r="B365" s="118" t="s">
        <v>622</v>
      </c>
      <c r="C365" s="343">
        <v>11948.5</v>
      </c>
      <c r="D365" s="343"/>
      <c r="E365" s="257"/>
      <c r="F365" s="257"/>
      <c r="G365" s="123">
        <v>6988730.7999999998</v>
      </c>
      <c r="H365" s="348">
        <f t="shared" si="186"/>
        <v>0</v>
      </c>
      <c r="I365" s="129">
        <v>0</v>
      </c>
      <c r="J365" s="129">
        <v>0</v>
      </c>
      <c r="K365" s="129">
        <v>0</v>
      </c>
      <c r="L365" s="129">
        <v>0</v>
      </c>
      <c r="M365" s="129">
        <v>0</v>
      </c>
      <c r="N365" s="348">
        <v>0</v>
      </c>
      <c r="O365" s="348">
        <v>0</v>
      </c>
      <c r="P365" s="348">
        <v>0</v>
      </c>
      <c r="Q365" s="348">
        <v>0</v>
      </c>
      <c r="R365" s="348">
        <v>0</v>
      </c>
      <c r="S365" s="348">
        <v>0</v>
      </c>
      <c r="T365" s="44">
        <v>0</v>
      </c>
      <c r="U365" s="348">
        <v>0</v>
      </c>
      <c r="V365" s="257" t="s">
        <v>997</v>
      </c>
      <c r="W365" s="351">
        <v>2096.1999999999998</v>
      </c>
      <c r="X365" s="348">
        <f t="shared" si="187"/>
        <v>6674237.9100000001</v>
      </c>
      <c r="Y365" s="351">
        <v>0</v>
      </c>
      <c r="Z365" s="351">
        <v>0</v>
      </c>
      <c r="AA365" s="351">
        <v>0</v>
      </c>
      <c r="AB365" s="351">
        <v>0</v>
      </c>
      <c r="AC365" s="351">
        <v>0</v>
      </c>
      <c r="AD365" s="351">
        <v>0</v>
      </c>
      <c r="AE365" s="351">
        <v>0</v>
      </c>
      <c r="AF365" s="351">
        <v>0</v>
      </c>
      <c r="AG365" s="351">
        <v>0</v>
      </c>
      <c r="AH365" s="351">
        <v>0</v>
      </c>
      <c r="AI365" s="351">
        <v>0</v>
      </c>
      <c r="AJ365" s="351">
        <f t="shared" si="188"/>
        <v>209661.92</v>
      </c>
      <c r="AK365" s="351">
        <f t="shared" si="189"/>
        <v>104830.96</v>
      </c>
      <c r="AL365" s="351">
        <v>0</v>
      </c>
      <c r="AM365" s="352"/>
      <c r="AN365" s="352"/>
    </row>
    <row r="366" spans="1:40" s="19" customFormat="1" ht="9" hidden="1" customHeight="1">
      <c r="A366" s="349">
        <v>6</v>
      </c>
      <c r="B366" s="118" t="s">
        <v>623</v>
      </c>
      <c r="C366" s="343">
        <v>3415</v>
      </c>
      <c r="D366" s="343"/>
      <c r="E366" s="257"/>
      <c r="F366" s="257"/>
      <c r="G366" s="123">
        <v>3450690</v>
      </c>
      <c r="H366" s="348">
        <f t="shared" si="186"/>
        <v>0</v>
      </c>
      <c r="I366" s="129">
        <v>0</v>
      </c>
      <c r="J366" s="129">
        <v>0</v>
      </c>
      <c r="K366" s="129">
        <v>0</v>
      </c>
      <c r="L366" s="129">
        <v>0</v>
      </c>
      <c r="M366" s="129">
        <v>0</v>
      </c>
      <c r="N366" s="348">
        <v>0</v>
      </c>
      <c r="O366" s="348">
        <v>0</v>
      </c>
      <c r="P366" s="348">
        <v>0</v>
      </c>
      <c r="Q366" s="348">
        <v>0</v>
      </c>
      <c r="R366" s="348">
        <v>0</v>
      </c>
      <c r="S366" s="348">
        <v>0</v>
      </c>
      <c r="T366" s="44">
        <v>0</v>
      </c>
      <c r="U366" s="348">
        <v>0</v>
      </c>
      <c r="V366" s="257" t="s">
        <v>997</v>
      </c>
      <c r="W366" s="351">
        <v>1035</v>
      </c>
      <c r="X366" s="348">
        <f t="shared" si="187"/>
        <v>3295408.95</v>
      </c>
      <c r="Y366" s="351">
        <v>0</v>
      </c>
      <c r="Z366" s="351">
        <v>0</v>
      </c>
      <c r="AA366" s="351">
        <v>0</v>
      </c>
      <c r="AB366" s="351">
        <v>0</v>
      </c>
      <c r="AC366" s="351">
        <v>0</v>
      </c>
      <c r="AD366" s="351">
        <v>0</v>
      </c>
      <c r="AE366" s="351">
        <v>0</v>
      </c>
      <c r="AF366" s="351">
        <v>0</v>
      </c>
      <c r="AG366" s="351">
        <v>0</v>
      </c>
      <c r="AH366" s="351">
        <v>0</v>
      </c>
      <c r="AI366" s="351">
        <v>0</v>
      </c>
      <c r="AJ366" s="351">
        <f t="shared" si="188"/>
        <v>103520.7</v>
      </c>
      <c r="AK366" s="351">
        <f t="shared" si="189"/>
        <v>51760.35</v>
      </c>
      <c r="AL366" s="351">
        <v>0</v>
      </c>
      <c r="AM366" s="352"/>
      <c r="AN366" s="352"/>
    </row>
    <row r="367" spans="1:40" s="19" customFormat="1" ht="9" hidden="1" customHeight="1">
      <c r="A367" s="349">
        <v>7</v>
      </c>
      <c r="B367" s="118" t="s">
        <v>624</v>
      </c>
      <c r="C367" s="343">
        <v>2028</v>
      </c>
      <c r="D367" s="343"/>
      <c r="E367" s="257"/>
      <c r="F367" s="257"/>
      <c r="G367" s="123">
        <v>2077082</v>
      </c>
      <c r="H367" s="348">
        <f t="shared" si="186"/>
        <v>0</v>
      </c>
      <c r="I367" s="129">
        <v>0</v>
      </c>
      <c r="J367" s="129">
        <v>0</v>
      </c>
      <c r="K367" s="129">
        <v>0</v>
      </c>
      <c r="L367" s="129">
        <v>0</v>
      </c>
      <c r="M367" s="129">
        <v>0</v>
      </c>
      <c r="N367" s="348">
        <v>0</v>
      </c>
      <c r="O367" s="348">
        <v>0</v>
      </c>
      <c r="P367" s="348">
        <v>0</v>
      </c>
      <c r="Q367" s="348">
        <v>0</v>
      </c>
      <c r="R367" s="348">
        <v>0</v>
      </c>
      <c r="S367" s="348">
        <v>0</v>
      </c>
      <c r="T367" s="44">
        <v>0</v>
      </c>
      <c r="U367" s="348">
        <v>0</v>
      </c>
      <c r="V367" s="257" t="s">
        <v>997</v>
      </c>
      <c r="W367" s="351">
        <v>623</v>
      </c>
      <c r="X367" s="348">
        <f t="shared" si="187"/>
        <v>1983613.31</v>
      </c>
      <c r="Y367" s="351">
        <v>0</v>
      </c>
      <c r="Z367" s="351">
        <v>0</v>
      </c>
      <c r="AA367" s="351">
        <v>0</v>
      </c>
      <c r="AB367" s="351">
        <v>0</v>
      </c>
      <c r="AC367" s="351">
        <v>0</v>
      </c>
      <c r="AD367" s="351">
        <v>0</v>
      </c>
      <c r="AE367" s="351">
        <v>0</v>
      </c>
      <c r="AF367" s="351">
        <v>0</v>
      </c>
      <c r="AG367" s="351">
        <v>0</v>
      </c>
      <c r="AH367" s="351">
        <v>0</v>
      </c>
      <c r="AI367" s="351">
        <v>0</v>
      </c>
      <c r="AJ367" s="351">
        <f t="shared" si="188"/>
        <v>62312.46</v>
      </c>
      <c r="AK367" s="351">
        <f t="shared" si="189"/>
        <v>31156.23</v>
      </c>
      <c r="AL367" s="351">
        <v>0</v>
      </c>
      <c r="AM367" s="352"/>
      <c r="AN367" s="352"/>
    </row>
    <row r="368" spans="1:40" s="19" customFormat="1" ht="9" hidden="1" customHeight="1">
      <c r="A368" s="349">
        <v>8</v>
      </c>
      <c r="B368" s="118" t="s">
        <v>625</v>
      </c>
      <c r="C368" s="343">
        <v>3393</v>
      </c>
      <c r="D368" s="343"/>
      <c r="E368" s="257"/>
      <c r="F368" s="257"/>
      <c r="G368" s="123">
        <v>3540708</v>
      </c>
      <c r="H368" s="348">
        <f t="shared" si="186"/>
        <v>0</v>
      </c>
      <c r="I368" s="129">
        <v>0</v>
      </c>
      <c r="J368" s="129">
        <v>0</v>
      </c>
      <c r="K368" s="129">
        <v>0</v>
      </c>
      <c r="L368" s="129">
        <v>0</v>
      </c>
      <c r="M368" s="129">
        <v>0</v>
      </c>
      <c r="N368" s="348">
        <v>0</v>
      </c>
      <c r="O368" s="348">
        <v>0</v>
      </c>
      <c r="P368" s="348">
        <v>0</v>
      </c>
      <c r="Q368" s="348">
        <v>0</v>
      </c>
      <c r="R368" s="348">
        <v>0</v>
      </c>
      <c r="S368" s="348">
        <v>0</v>
      </c>
      <c r="T368" s="44">
        <v>0</v>
      </c>
      <c r="U368" s="348">
        <v>0</v>
      </c>
      <c r="V368" s="257" t="s">
        <v>997</v>
      </c>
      <c r="W368" s="351">
        <v>1062</v>
      </c>
      <c r="X368" s="348">
        <f t="shared" si="187"/>
        <v>3381376.14</v>
      </c>
      <c r="Y368" s="351">
        <v>0</v>
      </c>
      <c r="Z368" s="351">
        <v>0</v>
      </c>
      <c r="AA368" s="351">
        <v>0</v>
      </c>
      <c r="AB368" s="351">
        <v>0</v>
      </c>
      <c r="AC368" s="351">
        <v>0</v>
      </c>
      <c r="AD368" s="351">
        <v>0</v>
      </c>
      <c r="AE368" s="351">
        <v>0</v>
      </c>
      <c r="AF368" s="351">
        <v>0</v>
      </c>
      <c r="AG368" s="351">
        <v>0</v>
      </c>
      <c r="AH368" s="351">
        <v>0</v>
      </c>
      <c r="AI368" s="351">
        <v>0</v>
      </c>
      <c r="AJ368" s="351">
        <f t="shared" si="188"/>
        <v>106221.24</v>
      </c>
      <c r="AK368" s="351">
        <f t="shared" si="189"/>
        <v>53110.62</v>
      </c>
      <c r="AL368" s="351">
        <v>0</v>
      </c>
      <c r="AM368" s="352"/>
      <c r="AN368" s="352"/>
    </row>
    <row r="369" spans="1:40" s="19" customFormat="1" ht="9" hidden="1" customHeight="1">
      <c r="A369" s="349">
        <v>9</v>
      </c>
      <c r="B369" s="118" t="s">
        <v>626</v>
      </c>
      <c r="C369" s="343">
        <v>3576.9</v>
      </c>
      <c r="D369" s="343"/>
      <c r="E369" s="257"/>
      <c r="F369" s="257"/>
      <c r="G369" s="123">
        <v>3337334</v>
      </c>
      <c r="H369" s="348">
        <f t="shared" si="186"/>
        <v>0</v>
      </c>
      <c r="I369" s="129">
        <v>0</v>
      </c>
      <c r="J369" s="129">
        <v>0</v>
      </c>
      <c r="K369" s="129">
        <v>0</v>
      </c>
      <c r="L369" s="129">
        <v>0</v>
      </c>
      <c r="M369" s="129">
        <v>0</v>
      </c>
      <c r="N369" s="348">
        <v>0</v>
      </c>
      <c r="O369" s="348">
        <v>0</v>
      </c>
      <c r="P369" s="348">
        <v>0</v>
      </c>
      <c r="Q369" s="348">
        <v>0</v>
      </c>
      <c r="R369" s="348">
        <v>0</v>
      </c>
      <c r="S369" s="348">
        <v>0</v>
      </c>
      <c r="T369" s="44">
        <v>0</v>
      </c>
      <c r="U369" s="348">
        <v>0</v>
      </c>
      <c r="V369" s="257" t="s">
        <v>997</v>
      </c>
      <c r="W369" s="351">
        <v>1001</v>
      </c>
      <c r="X369" s="348">
        <f t="shared" si="187"/>
        <v>3187153.97</v>
      </c>
      <c r="Y369" s="351">
        <v>0</v>
      </c>
      <c r="Z369" s="351">
        <v>0</v>
      </c>
      <c r="AA369" s="351">
        <v>0</v>
      </c>
      <c r="AB369" s="351">
        <v>0</v>
      </c>
      <c r="AC369" s="351">
        <v>0</v>
      </c>
      <c r="AD369" s="351">
        <v>0</v>
      </c>
      <c r="AE369" s="351">
        <v>0</v>
      </c>
      <c r="AF369" s="351">
        <v>0</v>
      </c>
      <c r="AG369" s="351">
        <v>0</v>
      </c>
      <c r="AH369" s="351">
        <v>0</v>
      </c>
      <c r="AI369" s="351">
        <v>0</v>
      </c>
      <c r="AJ369" s="351">
        <f t="shared" si="188"/>
        <v>100120.02</v>
      </c>
      <c r="AK369" s="351">
        <f t="shared" si="189"/>
        <v>50060.01</v>
      </c>
      <c r="AL369" s="351">
        <v>0</v>
      </c>
      <c r="AM369" s="352"/>
      <c r="AN369" s="352"/>
    </row>
    <row r="370" spans="1:40" s="19" customFormat="1" ht="9" hidden="1" customHeight="1">
      <c r="A370" s="349">
        <v>10</v>
      </c>
      <c r="B370" s="118" t="s">
        <v>627</v>
      </c>
      <c r="C370" s="343">
        <v>3222.6</v>
      </c>
      <c r="D370" s="343"/>
      <c r="E370" s="257"/>
      <c r="F370" s="257"/>
      <c r="G370" s="123">
        <v>2770554</v>
      </c>
      <c r="H370" s="348">
        <f t="shared" ref="H370:H433" si="190">I370+K370+M370+O370+Q370+S370</f>
        <v>0</v>
      </c>
      <c r="I370" s="129">
        <v>0</v>
      </c>
      <c r="J370" s="129">
        <v>0</v>
      </c>
      <c r="K370" s="129">
        <v>0</v>
      </c>
      <c r="L370" s="129">
        <v>0</v>
      </c>
      <c r="M370" s="129">
        <v>0</v>
      </c>
      <c r="N370" s="348">
        <v>0</v>
      </c>
      <c r="O370" s="348">
        <v>0</v>
      </c>
      <c r="P370" s="348">
        <v>0</v>
      </c>
      <c r="Q370" s="348">
        <v>0</v>
      </c>
      <c r="R370" s="348">
        <v>0</v>
      </c>
      <c r="S370" s="348">
        <v>0</v>
      </c>
      <c r="T370" s="44">
        <v>0</v>
      </c>
      <c r="U370" s="348">
        <v>0</v>
      </c>
      <c r="V370" s="257" t="s">
        <v>997</v>
      </c>
      <c r="W370" s="351">
        <v>831</v>
      </c>
      <c r="X370" s="348">
        <f t="shared" ref="X370:X433" si="191">ROUND(G370/100*95.5,2)</f>
        <v>2645879.0699999998</v>
      </c>
      <c r="Y370" s="351">
        <v>0</v>
      </c>
      <c r="Z370" s="351">
        <v>0</v>
      </c>
      <c r="AA370" s="351">
        <v>0</v>
      </c>
      <c r="AB370" s="351">
        <v>0</v>
      </c>
      <c r="AC370" s="351">
        <v>0</v>
      </c>
      <c r="AD370" s="351">
        <v>0</v>
      </c>
      <c r="AE370" s="351">
        <v>0</v>
      </c>
      <c r="AF370" s="351">
        <v>0</v>
      </c>
      <c r="AG370" s="351">
        <v>0</v>
      </c>
      <c r="AH370" s="351">
        <v>0</v>
      </c>
      <c r="AI370" s="351">
        <v>0</v>
      </c>
      <c r="AJ370" s="351">
        <f t="shared" ref="AJ370:AJ433" si="192">ROUND(G370/100*3,2)</f>
        <v>83116.62</v>
      </c>
      <c r="AK370" s="351">
        <f t="shared" ref="AK370:AK433" si="193">ROUND(G370/100*1.5,2)</f>
        <v>41558.31</v>
      </c>
      <c r="AL370" s="351">
        <v>0</v>
      </c>
      <c r="AM370" s="352"/>
      <c r="AN370" s="352"/>
    </row>
    <row r="371" spans="1:40" s="19" customFormat="1" ht="9" hidden="1" customHeight="1">
      <c r="A371" s="349">
        <v>11</v>
      </c>
      <c r="B371" s="118" t="s">
        <v>628</v>
      </c>
      <c r="C371" s="343">
        <v>2850.4</v>
      </c>
      <c r="D371" s="343"/>
      <c r="E371" s="257"/>
      <c r="F371" s="257"/>
      <c r="G371" s="123">
        <v>2427152</v>
      </c>
      <c r="H371" s="348">
        <f t="shared" si="190"/>
        <v>0</v>
      </c>
      <c r="I371" s="129">
        <v>0</v>
      </c>
      <c r="J371" s="129">
        <v>0</v>
      </c>
      <c r="K371" s="129">
        <v>0</v>
      </c>
      <c r="L371" s="129">
        <v>0</v>
      </c>
      <c r="M371" s="129">
        <v>0</v>
      </c>
      <c r="N371" s="348">
        <v>0</v>
      </c>
      <c r="O371" s="348">
        <v>0</v>
      </c>
      <c r="P371" s="348">
        <v>0</v>
      </c>
      <c r="Q371" s="348">
        <v>0</v>
      </c>
      <c r="R371" s="348">
        <v>0</v>
      </c>
      <c r="S371" s="348">
        <v>0</v>
      </c>
      <c r="T371" s="44">
        <v>0</v>
      </c>
      <c r="U371" s="348">
        <v>0</v>
      </c>
      <c r="V371" s="257" t="s">
        <v>997</v>
      </c>
      <c r="W371" s="351">
        <v>728</v>
      </c>
      <c r="X371" s="348">
        <f t="shared" si="191"/>
        <v>2317930.16</v>
      </c>
      <c r="Y371" s="351">
        <v>0</v>
      </c>
      <c r="Z371" s="351">
        <v>0</v>
      </c>
      <c r="AA371" s="351">
        <v>0</v>
      </c>
      <c r="AB371" s="351">
        <v>0</v>
      </c>
      <c r="AC371" s="351">
        <v>0</v>
      </c>
      <c r="AD371" s="351">
        <v>0</v>
      </c>
      <c r="AE371" s="351">
        <v>0</v>
      </c>
      <c r="AF371" s="351">
        <v>0</v>
      </c>
      <c r="AG371" s="351">
        <v>0</v>
      </c>
      <c r="AH371" s="351">
        <v>0</v>
      </c>
      <c r="AI371" s="351">
        <v>0</v>
      </c>
      <c r="AJ371" s="351">
        <f t="shared" si="192"/>
        <v>72814.559999999998</v>
      </c>
      <c r="AK371" s="351">
        <f t="shared" si="193"/>
        <v>36407.279999999999</v>
      </c>
      <c r="AL371" s="351">
        <v>0</v>
      </c>
      <c r="AM371" s="352"/>
      <c r="AN371" s="352"/>
    </row>
    <row r="372" spans="1:40" s="19" customFormat="1" ht="9" hidden="1" customHeight="1">
      <c r="A372" s="349">
        <v>12</v>
      </c>
      <c r="B372" s="118" t="s">
        <v>629</v>
      </c>
      <c r="C372" s="343">
        <v>3206</v>
      </c>
      <c r="D372" s="343"/>
      <c r="E372" s="257"/>
      <c r="F372" s="257"/>
      <c r="G372" s="123">
        <v>2770554</v>
      </c>
      <c r="H372" s="348">
        <f t="shared" si="190"/>
        <v>0</v>
      </c>
      <c r="I372" s="129">
        <v>0</v>
      </c>
      <c r="J372" s="129">
        <v>0</v>
      </c>
      <c r="K372" s="129">
        <v>0</v>
      </c>
      <c r="L372" s="129">
        <v>0</v>
      </c>
      <c r="M372" s="129">
        <v>0</v>
      </c>
      <c r="N372" s="348">
        <v>0</v>
      </c>
      <c r="O372" s="348">
        <v>0</v>
      </c>
      <c r="P372" s="348">
        <v>0</v>
      </c>
      <c r="Q372" s="348">
        <v>0</v>
      </c>
      <c r="R372" s="348">
        <v>0</v>
      </c>
      <c r="S372" s="348">
        <v>0</v>
      </c>
      <c r="T372" s="44">
        <v>0</v>
      </c>
      <c r="U372" s="348">
        <v>0</v>
      </c>
      <c r="V372" s="257" t="s">
        <v>997</v>
      </c>
      <c r="W372" s="351">
        <v>831</v>
      </c>
      <c r="X372" s="348">
        <f t="shared" si="191"/>
        <v>2645879.0699999998</v>
      </c>
      <c r="Y372" s="351">
        <v>0</v>
      </c>
      <c r="Z372" s="351">
        <v>0</v>
      </c>
      <c r="AA372" s="351">
        <v>0</v>
      </c>
      <c r="AB372" s="351">
        <v>0</v>
      </c>
      <c r="AC372" s="351">
        <v>0</v>
      </c>
      <c r="AD372" s="351">
        <v>0</v>
      </c>
      <c r="AE372" s="351">
        <v>0</v>
      </c>
      <c r="AF372" s="351">
        <v>0</v>
      </c>
      <c r="AG372" s="351">
        <v>0</v>
      </c>
      <c r="AH372" s="351">
        <v>0</v>
      </c>
      <c r="AI372" s="351">
        <v>0</v>
      </c>
      <c r="AJ372" s="351">
        <f t="shared" si="192"/>
        <v>83116.62</v>
      </c>
      <c r="AK372" s="351">
        <f t="shared" si="193"/>
        <v>41558.31</v>
      </c>
      <c r="AL372" s="351">
        <v>0</v>
      </c>
      <c r="AM372" s="352"/>
      <c r="AN372" s="352"/>
    </row>
    <row r="373" spans="1:40" s="19" customFormat="1" ht="9" hidden="1" customHeight="1">
      <c r="A373" s="349">
        <v>13</v>
      </c>
      <c r="B373" s="118" t="s">
        <v>630</v>
      </c>
      <c r="C373" s="343">
        <v>2455.5</v>
      </c>
      <c r="D373" s="343"/>
      <c r="E373" s="257"/>
      <c r="F373" s="257"/>
      <c r="G373" s="123">
        <v>2847236</v>
      </c>
      <c r="H373" s="348">
        <f t="shared" si="190"/>
        <v>0</v>
      </c>
      <c r="I373" s="129">
        <v>0</v>
      </c>
      <c r="J373" s="129">
        <v>0</v>
      </c>
      <c r="K373" s="129">
        <v>0</v>
      </c>
      <c r="L373" s="129">
        <v>0</v>
      </c>
      <c r="M373" s="129">
        <v>0</v>
      </c>
      <c r="N373" s="348">
        <v>0</v>
      </c>
      <c r="O373" s="348">
        <v>0</v>
      </c>
      <c r="P373" s="348">
        <v>0</v>
      </c>
      <c r="Q373" s="348">
        <v>0</v>
      </c>
      <c r="R373" s="348">
        <v>0</v>
      </c>
      <c r="S373" s="348">
        <v>0</v>
      </c>
      <c r="T373" s="44">
        <v>0</v>
      </c>
      <c r="U373" s="348">
        <v>0</v>
      </c>
      <c r="V373" s="257" t="s">
        <v>997</v>
      </c>
      <c r="W373" s="351">
        <v>854</v>
      </c>
      <c r="X373" s="348">
        <f t="shared" si="191"/>
        <v>2719110.38</v>
      </c>
      <c r="Y373" s="351">
        <v>0</v>
      </c>
      <c r="Z373" s="351">
        <v>0</v>
      </c>
      <c r="AA373" s="351">
        <v>0</v>
      </c>
      <c r="AB373" s="351">
        <v>0</v>
      </c>
      <c r="AC373" s="351">
        <v>0</v>
      </c>
      <c r="AD373" s="351">
        <v>0</v>
      </c>
      <c r="AE373" s="351">
        <v>0</v>
      </c>
      <c r="AF373" s="351">
        <v>0</v>
      </c>
      <c r="AG373" s="351">
        <v>0</v>
      </c>
      <c r="AH373" s="351">
        <v>0</v>
      </c>
      <c r="AI373" s="351">
        <v>0</v>
      </c>
      <c r="AJ373" s="351">
        <f t="shared" si="192"/>
        <v>85417.08</v>
      </c>
      <c r="AK373" s="351">
        <f t="shared" si="193"/>
        <v>42708.54</v>
      </c>
      <c r="AL373" s="351">
        <v>0</v>
      </c>
      <c r="AM373" s="352"/>
      <c r="AN373" s="352"/>
    </row>
    <row r="374" spans="1:40" s="19" customFormat="1" ht="9" hidden="1" customHeight="1">
      <c r="A374" s="349">
        <v>14</v>
      </c>
      <c r="B374" s="118" t="s">
        <v>631</v>
      </c>
      <c r="C374" s="343">
        <v>2443.9</v>
      </c>
      <c r="D374" s="343"/>
      <c r="E374" s="257"/>
      <c r="F374" s="257"/>
      <c r="G374" s="123">
        <v>2847236</v>
      </c>
      <c r="H374" s="348">
        <f t="shared" si="190"/>
        <v>0</v>
      </c>
      <c r="I374" s="129">
        <v>0</v>
      </c>
      <c r="J374" s="129">
        <v>0</v>
      </c>
      <c r="K374" s="129">
        <v>0</v>
      </c>
      <c r="L374" s="129">
        <v>0</v>
      </c>
      <c r="M374" s="129">
        <v>0</v>
      </c>
      <c r="N374" s="348">
        <v>0</v>
      </c>
      <c r="O374" s="348">
        <v>0</v>
      </c>
      <c r="P374" s="348">
        <v>0</v>
      </c>
      <c r="Q374" s="348">
        <v>0</v>
      </c>
      <c r="R374" s="348">
        <v>0</v>
      </c>
      <c r="S374" s="348">
        <v>0</v>
      </c>
      <c r="T374" s="44">
        <v>0</v>
      </c>
      <c r="U374" s="348">
        <v>0</v>
      </c>
      <c r="V374" s="257" t="s">
        <v>997</v>
      </c>
      <c r="W374" s="351">
        <v>854</v>
      </c>
      <c r="X374" s="348">
        <f t="shared" si="191"/>
        <v>2719110.38</v>
      </c>
      <c r="Y374" s="351">
        <v>0</v>
      </c>
      <c r="Z374" s="351">
        <v>0</v>
      </c>
      <c r="AA374" s="351">
        <v>0</v>
      </c>
      <c r="AB374" s="351">
        <v>0</v>
      </c>
      <c r="AC374" s="351">
        <v>0</v>
      </c>
      <c r="AD374" s="351">
        <v>0</v>
      </c>
      <c r="AE374" s="351">
        <v>0</v>
      </c>
      <c r="AF374" s="351">
        <v>0</v>
      </c>
      <c r="AG374" s="351">
        <v>0</v>
      </c>
      <c r="AH374" s="351">
        <v>0</v>
      </c>
      <c r="AI374" s="351">
        <v>0</v>
      </c>
      <c r="AJ374" s="351">
        <f t="shared" si="192"/>
        <v>85417.08</v>
      </c>
      <c r="AK374" s="351">
        <f t="shared" si="193"/>
        <v>42708.54</v>
      </c>
      <c r="AL374" s="351">
        <v>0</v>
      </c>
      <c r="AM374" s="352"/>
      <c r="AN374" s="352"/>
    </row>
    <row r="375" spans="1:40" s="19" customFormat="1" ht="9" hidden="1" customHeight="1">
      <c r="A375" s="349">
        <v>15</v>
      </c>
      <c r="B375" s="118" t="s">
        <v>632</v>
      </c>
      <c r="C375" s="343">
        <v>3555.3</v>
      </c>
      <c r="D375" s="343"/>
      <c r="E375" s="257"/>
      <c r="F375" s="257"/>
      <c r="G375" s="123">
        <v>3317330</v>
      </c>
      <c r="H375" s="348">
        <f t="shared" si="190"/>
        <v>0</v>
      </c>
      <c r="I375" s="129">
        <v>0</v>
      </c>
      <c r="J375" s="129">
        <v>0</v>
      </c>
      <c r="K375" s="129">
        <v>0</v>
      </c>
      <c r="L375" s="129">
        <v>0</v>
      </c>
      <c r="M375" s="129">
        <v>0</v>
      </c>
      <c r="N375" s="348">
        <v>0</v>
      </c>
      <c r="O375" s="348">
        <v>0</v>
      </c>
      <c r="P375" s="348">
        <v>0</v>
      </c>
      <c r="Q375" s="348">
        <v>0</v>
      </c>
      <c r="R375" s="348">
        <v>0</v>
      </c>
      <c r="S375" s="348">
        <v>0</v>
      </c>
      <c r="T375" s="44">
        <v>0</v>
      </c>
      <c r="U375" s="348">
        <v>0</v>
      </c>
      <c r="V375" s="257" t="s">
        <v>997</v>
      </c>
      <c r="W375" s="351">
        <v>995</v>
      </c>
      <c r="X375" s="348">
        <f t="shared" si="191"/>
        <v>3168050.15</v>
      </c>
      <c r="Y375" s="351">
        <v>0</v>
      </c>
      <c r="Z375" s="351">
        <v>0</v>
      </c>
      <c r="AA375" s="351">
        <v>0</v>
      </c>
      <c r="AB375" s="351">
        <v>0</v>
      </c>
      <c r="AC375" s="351">
        <v>0</v>
      </c>
      <c r="AD375" s="351">
        <v>0</v>
      </c>
      <c r="AE375" s="351">
        <v>0</v>
      </c>
      <c r="AF375" s="351">
        <v>0</v>
      </c>
      <c r="AG375" s="351">
        <v>0</v>
      </c>
      <c r="AH375" s="351">
        <v>0</v>
      </c>
      <c r="AI375" s="351">
        <v>0</v>
      </c>
      <c r="AJ375" s="351">
        <f t="shared" si="192"/>
        <v>99519.9</v>
      </c>
      <c r="AK375" s="351">
        <f t="shared" si="193"/>
        <v>49759.95</v>
      </c>
      <c r="AL375" s="351">
        <v>0</v>
      </c>
      <c r="AM375" s="352"/>
      <c r="AN375" s="352"/>
    </row>
    <row r="376" spans="1:40" s="19" customFormat="1" ht="9" hidden="1" customHeight="1">
      <c r="A376" s="349">
        <v>16</v>
      </c>
      <c r="B376" s="118" t="s">
        <v>633</v>
      </c>
      <c r="C376" s="343">
        <v>3588</v>
      </c>
      <c r="D376" s="343"/>
      <c r="E376" s="257"/>
      <c r="F376" s="257"/>
      <c r="G376" s="123">
        <v>3330666</v>
      </c>
      <c r="H376" s="348">
        <f t="shared" si="190"/>
        <v>0</v>
      </c>
      <c r="I376" s="129">
        <v>0</v>
      </c>
      <c r="J376" s="129">
        <v>0</v>
      </c>
      <c r="K376" s="129">
        <v>0</v>
      </c>
      <c r="L376" s="129">
        <v>0</v>
      </c>
      <c r="M376" s="129">
        <v>0</v>
      </c>
      <c r="N376" s="348">
        <v>0</v>
      </c>
      <c r="O376" s="348">
        <v>0</v>
      </c>
      <c r="P376" s="348">
        <v>0</v>
      </c>
      <c r="Q376" s="348">
        <v>0</v>
      </c>
      <c r="R376" s="348">
        <v>0</v>
      </c>
      <c r="S376" s="348">
        <v>0</v>
      </c>
      <c r="T376" s="44">
        <v>0</v>
      </c>
      <c r="U376" s="348">
        <v>0</v>
      </c>
      <c r="V376" s="257" t="s">
        <v>997</v>
      </c>
      <c r="W376" s="351">
        <v>999</v>
      </c>
      <c r="X376" s="348">
        <f t="shared" si="191"/>
        <v>3180786.03</v>
      </c>
      <c r="Y376" s="351">
        <v>0</v>
      </c>
      <c r="Z376" s="351">
        <v>0</v>
      </c>
      <c r="AA376" s="351">
        <v>0</v>
      </c>
      <c r="AB376" s="351">
        <v>0</v>
      </c>
      <c r="AC376" s="351">
        <v>0</v>
      </c>
      <c r="AD376" s="351">
        <v>0</v>
      </c>
      <c r="AE376" s="351">
        <v>0</v>
      </c>
      <c r="AF376" s="351">
        <v>0</v>
      </c>
      <c r="AG376" s="351">
        <v>0</v>
      </c>
      <c r="AH376" s="351">
        <v>0</v>
      </c>
      <c r="AI376" s="351">
        <v>0</v>
      </c>
      <c r="AJ376" s="351">
        <f t="shared" si="192"/>
        <v>99919.98</v>
      </c>
      <c r="AK376" s="351">
        <f t="shared" si="193"/>
        <v>49959.99</v>
      </c>
      <c r="AL376" s="351">
        <v>0</v>
      </c>
      <c r="AM376" s="352"/>
      <c r="AN376" s="352"/>
    </row>
    <row r="377" spans="1:40" s="19" customFormat="1" ht="9" hidden="1" customHeight="1">
      <c r="A377" s="349">
        <v>17</v>
      </c>
      <c r="B377" s="118" t="s">
        <v>635</v>
      </c>
      <c r="C377" s="343">
        <v>3569.7</v>
      </c>
      <c r="D377" s="343"/>
      <c r="E377" s="257"/>
      <c r="F377" s="257"/>
      <c r="G377" s="123">
        <v>3000600</v>
      </c>
      <c r="H377" s="348">
        <f t="shared" si="190"/>
        <v>0</v>
      </c>
      <c r="I377" s="129">
        <v>0</v>
      </c>
      <c r="J377" s="129">
        <v>0</v>
      </c>
      <c r="K377" s="129">
        <v>0</v>
      </c>
      <c r="L377" s="129">
        <v>0</v>
      </c>
      <c r="M377" s="129">
        <v>0</v>
      </c>
      <c r="N377" s="348">
        <v>0</v>
      </c>
      <c r="O377" s="348">
        <v>0</v>
      </c>
      <c r="P377" s="348">
        <v>0</v>
      </c>
      <c r="Q377" s="348">
        <v>0</v>
      </c>
      <c r="R377" s="348">
        <v>0</v>
      </c>
      <c r="S377" s="348">
        <v>0</v>
      </c>
      <c r="T377" s="44">
        <v>0</v>
      </c>
      <c r="U377" s="348">
        <v>0</v>
      </c>
      <c r="V377" s="257" t="s">
        <v>997</v>
      </c>
      <c r="W377" s="351">
        <v>900</v>
      </c>
      <c r="X377" s="348">
        <f t="shared" si="191"/>
        <v>2865573</v>
      </c>
      <c r="Y377" s="351">
        <v>0</v>
      </c>
      <c r="Z377" s="351">
        <v>0</v>
      </c>
      <c r="AA377" s="351">
        <v>0</v>
      </c>
      <c r="AB377" s="351">
        <v>0</v>
      </c>
      <c r="AC377" s="351">
        <v>0</v>
      </c>
      <c r="AD377" s="351">
        <v>0</v>
      </c>
      <c r="AE377" s="351">
        <v>0</v>
      </c>
      <c r="AF377" s="351">
        <v>0</v>
      </c>
      <c r="AG377" s="351">
        <v>0</v>
      </c>
      <c r="AH377" s="351">
        <v>0</v>
      </c>
      <c r="AI377" s="351">
        <v>0</v>
      </c>
      <c r="AJ377" s="351">
        <f t="shared" si="192"/>
        <v>90018</v>
      </c>
      <c r="AK377" s="351">
        <f t="shared" si="193"/>
        <v>45009</v>
      </c>
      <c r="AL377" s="351">
        <v>0</v>
      </c>
      <c r="AM377" s="352"/>
      <c r="AN377" s="352"/>
    </row>
    <row r="378" spans="1:40" s="19" customFormat="1" ht="9" hidden="1" customHeight="1">
      <c r="A378" s="349">
        <v>18</v>
      </c>
      <c r="B378" s="118" t="s">
        <v>636</v>
      </c>
      <c r="C378" s="343">
        <v>3545.6</v>
      </c>
      <c r="D378" s="343"/>
      <c r="E378" s="257"/>
      <c r="F378" s="257"/>
      <c r="G378" s="123">
        <v>3247316</v>
      </c>
      <c r="H378" s="348">
        <f t="shared" si="190"/>
        <v>0</v>
      </c>
      <c r="I378" s="129">
        <v>0</v>
      </c>
      <c r="J378" s="129">
        <v>0</v>
      </c>
      <c r="K378" s="129">
        <v>0</v>
      </c>
      <c r="L378" s="129">
        <v>0</v>
      </c>
      <c r="M378" s="129">
        <v>0</v>
      </c>
      <c r="N378" s="348">
        <v>0</v>
      </c>
      <c r="O378" s="348">
        <v>0</v>
      </c>
      <c r="P378" s="348">
        <v>0</v>
      </c>
      <c r="Q378" s="348">
        <v>0</v>
      </c>
      <c r="R378" s="348">
        <v>0</v>
      </c>
      <c r="S378" s="348">
        <v>0</v>
      </c>
      <c r="T378" s="44">
        <v>0</v>
      </c>
      <c r="U378" s="348">
        <v>0</v>
      </c>
      <c r="V378" s="257" t="s">
        <v>997</v>
      </c>
      <c r="W378" s="351">
        <v>974</v>
      </c>
      <c r="X378" s="348">
        <f t="shared" si="191"/>
        <v>3101186.78</v>
      </c>
      <c r="Y378" s="351">
        <v>0</v>
      </c>
      <c r="Z378" s="351">
        <v>0</v>
      </c>
      <c r="AA378" s="351">
        <v>0</v>
      </c>
      <c r="AB378" s="351">
        <v>0</v>
      </c>
      <c r="AC378" s="351">
        <v>0</v>
      </c>
      <c r="AD378" s="351">
        <v>0</v>
      </c>
      <c r="AE378" s="351">
        <v>0</v>
      </c>
      <c r="AF378" s="351">
        <v>0</v>
      </c>
      <c r="AG378" s="351">
        <v>0</v>
      </c>
      <c r="AH378" s="351">
        <v>0</v>
      </c>
      <c r="AI378" s="351">
        <v>0</v>
      </c>
      <c r="AJ378" s="351">
        <f t="shared" si="192"/>
        <v>97419.48</v>
      </c>
      <c r="AK378" s="351">
        <f t="shared" si="193"/>
        <v>48709.74</v>
      </c>
      <c r="AL378" s="351">
        <v>0</v>
      </c>
      <c r="AM378" s="352"/>
      <c r="AN378" s="352"/>
    </row>
    <row r="379" spans="1:40" s="19" customFormat="1" ht="9" hidden="1" customHeight="1">
      <c r="A379" s="349">
        <v>19</v>
      </c>
      <c r="B379" s="118" t="s">
        <v>637</v>
      </c>
      <c r="C379" s="343">
        <v>5711</v>
      </c>
      <c r="D379" s="343"/>
      <c r="E379" s="257"/>
      <c r="F379" s="257"/>
      <c r="G379" s="123">
        <v>7001400</v>
      </c>
      <c r="H379" s="348">
        <f t="shared" si="190"/>
        <v>0</v>
      </c>
      <c r="I379" s="129">
        <v>0</v>
      </c>
      <c r="J379" s="129">
        <v>0</v>
      </c>
      <c r="K379" s="129">
        <v>0</v>
      </c>
      <c r="L379" s="129">
        <v>0</v>
      </c>
      <c r="M379" s="129">
        <v>0</v>
      </c>
      <c r="N379" s="348">
        <v>0</v>
      </c>
      <c r="O379" s="348">
        <v>0</v>
      </c>
      <c r="P379" s="348">
        <v>0</v>
      </c>
      <c r="Q379" s="348">
        <v>0</v>
      </c>
      <c r="R379" s="348">
        <v>0</v>
      </c>
      <c r="S379" s="348">
        <v>0</v>
      </c>
      <c r="T379" s="44">
        <v>0</v>
      </c>
      <c r="U379" s="348">
        <v>0</v>
      </c>
      <c r="V379" s="257" t="s">
        <v>997</v>
      </c>
      <c r="W379" s="351">
        <v>2100</v>
      </c>
      <c r="X379" s="348">
        <f t="shared" si="191"/>
        <v>6686337</v>
      </c>
      <c r="Y379" s="351">
        <v>0</v>
      </c>
      <c r="Z379" s="351">
        <v>0</v>
      </c>
      <c r="AA379" s="351">
        <v>0</v>
      </c>
      <c r="AB379" s="351">
        <v>0</v>
      </c>
      <c r="AC379" s="351">
        <v>0</v>
      </c>
      <c r="AD379" s="351">
        <v>0</v>
      </c>
      <c r="AE379" s="351">
        <v>0</v>
      </c>
      <c r="AF379" s="351">
        <v>0</v>
      </c>
      <c r="AG379" s="351">
        <v>0</v>
      </c>
      <c r="AH379" s="351">
        <v>0</v>
      </c>
      <c r="AI379" s="351">
        <v>0</v>
      </c>
      <c r="AJ379" s="351">
        <f t="shared" si="192"/>
        <v>210042</v>
      </c>
      <c r="AK379" s="351">
        <f t="shared" si="193"/>
        <v>105021</v>
      </c>
      <c r="AL379" s="351">
        <v>0</v>
      </c>
      <c r="AM379" s="352"/>
      <c r="AN379" s="352"/>
    </row>
    <row r="380" spans="1:40" s="19" customFormat="1" ht="9" hidden="1" customHeight="1">
      <c r="A380" s="349">
        <v>20</v>
      </c>
      <c r="B380" s="118" t="s">
        <v>638</v>
      </c>
      <c r="C380" s="343">
        <v>1992.5</v>
      </c>
      <c r="D380" s="343"/>
      <c r="E380" s="257"/>
      <c r="F380" s="257"/>
      <c r="G380" s="123">
        <v>2610522</v>
      </c>
      <c r="H380" s="348">
        <f t="shared" si="190"/>
        <v>0</v>
      </c>
      <c r="I380" s="129">
        <v>0</v>
      </c>
      <c r="J380" s="129">
        <v>0</v>
      </c>
      <c r="K380" s="129">
        <v>0</v>
      </c>
      <c r="L380" s="129">
        <v>0</v>
      </c>
      <c r="M380" s="129">
        <v>0</v>
      </c>
      <c r="N380" s="348">
        <v>0</v>
      </c>
      <c r="O380" s="348">
        <v>0</v>
      </c>
      <c r="P380" s="348">
        <v>0</v>
      </c>
      <c r="Q380" s="348">
        <v>0</v>
      </c>
      <c r="R380" s="348">
        <v>0</v>
      </c>
      <c r="S380" s="348">
        <v>0</v>
      </c>
      <c r="T380" s="44">
        <v>0</v>
      </c>
      <c r="U380" s="348">
        <v>0</v>
      </c>
      <c r="V380" s="257" t="s">
        <v>997</v>
      </c>
      <c r="W380" s="351">
        <v>783</v>
      </c>
      <c r="X380" s="348">
        <f t="shared" si="191"/>
        <v>2493048.5099999998</v>
      </c>
      <c r="Y380" s="351">
        <v>0</v>
      </c>
      <c r="Z380" s="351">
        <v>0</v>
      </c>
      <c r="AA380" s="351">
        <v>0</v>
      </c>
      <c r="AB380" s="351">
        <v>0</v>
      </c>
      <c r="AC380" s="351">
        <v>0</v>
      </c>
      <c r="AD380" s="351">
        <v>0</v>
      </c>
      <c r="AE380" s="351">
        <v>0</v>
      </c>
      <c r="AF380" s="351">
        <v>0</v>
      </c>
      <c r="AG380" s="351">
        <v>0</v>
      </c>
      <c r="AH380" s="351">
        <v>0</v>
      </c>
      <c r="AI380" s="351">
        <v>0</v>
      </c>
      <c r="AJ380" s="351">
        <f t="shared" si="192"/>
        <v>78315.66</v>
      </c>
      <c r="AK380" s="351">
        <f t="shared" si="193"/>
        <v>39157.83</v>
      </c>
      <c r="AL380" s="351">
        <v>0</v>
      </c>
      <c r="AM380" s="352"/>
      <c r="AN380" s="352"/>
    </row>
    <row r="381" spans="1:40" s="19" customFormat="1" ht="9" hidden="1" customHeight="1">
      <c r="A381" s="349">
        <v>21</v>
      </c>
      <c r="B381" s="118" t="s">
        <v>639</v>
      </c>
      <c r="C381" s="343">
        <v>3489</v>
      </c>
      <c r="D381" s="343"/>
      <c r="E381" s="257"/>
      <c r="F381" s="257"/>
      <c r="G381" s="123">
        <v>3218310.2</v>
      </c>
      <c r="H381" s="348">
        <f t="shared" si="190"/>
        <v>0</v>
      </c>
      <c r="I381" s="129">
        <v>0</v>
      </c>
      <c r="J381" s="129">
        <v>0</v>
      </c>
      <c r="K381" s="129">
        <v>0</v>
      </c>
      <c r="L381" s="129">
        <v>0</v>
      </c>
      <c r="M381" s="129">
        <v>0</v>
      </c>
      <c r="N381" s="348">
        <v>0</v>
      </c>
      <c r="O381" s="348">
        <v>0</v>
      </c>
      <c r="P381" s="348">
        <v>0</v>
      </c>
      <c r="Q381" s="348">
        <v>0</v>
      </c>
      <c r="R381" s="348">
        <v>0</v>
      </c>
      <c r="S381" s="348">
        <v>0</v>
      </c>
      <c r="T381" s="44">
        <v>0</v>
      </c>
      <c r="U381" s="348">
        <v>0</v>
      </c>
      <c r="V381" s="257" t="s">
        <v>997</v>
      </c>
      <c r="W381" s="351">
        <v>965.3</v>
      </c>
      <c r="X381" s="348">
        <f t="shared" si="191"/>
        <v>3073486.24</v>
      </c>
      <c r="Y381" s="351">
        <v>0</v>
      </c>
      <c r="Z381" s="351">
        <v>0</v>
      </c>
      <c r="AA381" s="351">
        <v>0</v>
      </c>
      <c r="AB381" s="351">
        <v>0</v>
      </c>
      <c r="AC381" s="351">
        <v>0</v>
      </c>
      <c r="AD381" s="351">
        <v>0</v>
      </c>
      <c r="AE381" s="351">
        <v>0</v>
      </c>
      <c r="AF381" s="351">
        <v>0</v>
      </c>
      <c r="AG381" s="351">
        <v>0</v>
      </c>
      <c r="AH381" s="351">
        <v>0</v>
      </c>
      <c r="AI381" s="351">
        <v>0</v>
      </c>
      <c r="AJ381" s="351">
        <f t="shared" si="192"/>
        <v>96549.31</v>
      </c>
      <c r="AK381" s="351">
        <f t="shared" si="193"/>
        <v>48274.65</v>
      </c>
      <c r="AL381" s="351">
        <v>0</v>
      </c>
      <c r="AM381" s="352"/>
      <c r="AN381" s="352"/>
    </row>
    <row r="382" spans="1:40" s="19" customFormat="1" ht="9" hidden="1" customHeight="1">
      <c r="A382" s="349">
        <v>22</v>
      </c>
      <c r="B382" s="118" t="s">
        <v>640</v>
      </c>
      <c r="C382" s="343">
        <v>4272.3999999999996</v>
      </c>
      <c r="D382" s="343"/>
      <c r="E382" s="257"/>
      <c r="F382" s="257"/>
      <c r="G382" s="123">
        <v>3931786.2</v>
      </c>
      <c r="H382" s="348">
        <f t="shared" si="190"/>
        <v>0</v>
      </c>
      <c r="I382" s="129">
        <v>0</v>
      </c>
      <c r="J382" s="129">
        <v>0</v>
      </c>
      <c r="K382" s="129">
        <v>0</v>
      </c>
      <c r="L382" s="129">
        <v>0</v>
      </c>
      <c r="M382" s="129">
        <v>0</v>
      </c>
      <c r="N382" s="348">
        <v>0</v>
      </c>
      <c r="O382" s="348">
        <v>0</v>
      </c>
      <c r="P382" s="348">
        <v>0</v>
      </c>
      <c r="Q382" s="348">
        <v>0</v>
      </c>
      <c r="R382" s="348">
        <v>0</v>
      </c>
      <c r="S382" s="348">
        <v>0</v>
      </c>
      <c r="T382" s="44">
        <v>0</v>
      </c>
      <c r="U382" s="348">
        <v>0</v>
      </c>
      <c r="V382" s="257" t="s">
        <v>997</v>
      </c>
      <c r="W382" s="351">
        <v>1179.3</v>
      </c>
      <c r="X382" s="348">
        <f t="shared" si="191"/>
        <v>3754855.82</v>
      </c>
      <c r="Y382" s="351">
        <v>0</v>
      </c>
      <c r="Z382" s="351">
        <v>0</v>
      </c>
      <c r="AA382" s="351">
        <v>0</v>
      </c>
      <c r="AB382" s="351">
        <v>0</v>
      </c>
      <c r="AC382" s="351">
        <v>0</v>
      </c>
      <c r="AD382" s="351">
        <v>0</v>
      </c>
      <c r="AE382" s="351">
        <v>0</v>
      </c>
      <c r="AF382" s="351">
        <v>0</v>
      </c>
      <c r="AG382" s="351">
        <v>0</v>
      </c>
      <c r="AH382" s="351">
        <v>0</v>
      </c>
      <c r="AI382" s="351">
        <v>0</v>
      </c>
      <c r="AJ382" s="351">
        <f t="shared" si="192"/>
        <v>117953.59</v>
      </c>
      <c r="AK382" s="351">
        <f t="shared" si="193"/>
        <v>58976.79</v>
      </c>
      <c r="AL382" s="351">
        <v>0</v>
      </c>
      <c r="AM382" s="352"/>
      <c r="AN382" s="352"/>
    </row>
    <row r="383" spans="1:40" s="19" customFormat="1" ht="9" hidden="1" customHeight="1">
      <c r="A383" s="349">
        <v>23</v>
      </c>
      <c r="B383" s="118" t="s">
        <v>641</v>
      </c>
      <c r="C383" s="343">
        <v>6688</v>
      </c>
      <c r="D383" s="343"/>
      <c r="E383" s="257"/>
      <c r="F383" s="257"/>
      <c r="G383" s="123">
        <v>11589702.08</v>
      </c>
      <c r="H383" s="348">
        <f t="shared" si="190"/>
        <v>9005726.4000000004</v>
      </c>
      <c r="I383" s="129">
        <v>0</v>
      </c>
      <c r="J383" s="129">
        <v>0</v>
      </c>
      <c r="K383" s="129">
        <f>ROUND(0.955*(C383*1200),2)</f>
        <v>7664448</v>
      </c>
      <c r="L383" s="129">
        <v>0</v>
      </c>
      <c r="M383" s="129">
        <v>0</v>
      </c>
      <c r="N383" s="348">
        <v>0</v>
      </c>
      <c r="O383" s="348">
        <f>ROUND(0.955*(C383*210),2)</f>
        <v>1341278.3999999999</v>
      </c>
      <c r="P383" s="348">
        <v>0</v>
      </c>
      <c r="Q383" s="348">
        <v>0</v>
      </c>
      <c r="R383" s="348">
        <v>0</v>
      </c>
      <c r="S383" s="348">
        <v>0</v>
      </c>
      <c r="T383" s="44">
        <v>0</v>
      </c>
      <c r="U383" s="348">
        <v>0</v>
      </c>
      <c r="V383" s="257"/>
      <c r="W383" s="351">
        <v>0</v>
      </c>
      <c r="X383" s="348">
        <v>0</v>
      </c>
      <c r="Y383" s="351">
        <v>0</v>
      </c>
      <c r="Z383" s="351">
        <v>0</v>
      </c>
      <c r="AA383" s="351">
        <v>0</v>
      </c>
      <c r="AB383" s="351">
        <v>0</v>
      </c>
      <c r="AC383" s="351">
        <v>0</v>
      </c>
      <c r="AD383" s="351">
        <v>0</v>
      </c>
      <c r="AE383" s="351">
        <v>0</v>
      </c>
      <c r="AF383" s="351">
        <v>0</v>
      </c>
      <c r="AG383" s="351">
        <v>0</v>
      </c>
      <c r="AH383" s="351">
        <v>0</v>
      </c>
      <c r="AI383" s="348">
        <f>ROUND(0.955*C383*322.91,2)</f>
        <v>2062439.09</v>
      </c>
      <c r="AJ383" s="351">
        <f>ROUND(0.03*(210+1200+322.91)*C383,2)</f>
        <v>347691.06</v>
      </c>
      <c r="AK383" s="351">
        <f>ROUND(0.015*(210+1200+322.91)*C383,2)</f>
        <v>173845.53</v>
      </c>
      <c r="AL383" s="351">
        <v>0</v>
      </c>
      <c r="AM383" s="352"/>
      <c r="AN383" s="352"/>
    </row>
    <row r="384" spans="1:40" s="19" customFormat="1" ht="9" hidden="1" customHeight="1">
      <c r="A384" s="349">
        <v>24</v>
      </c>
      <c r="B384" s="118" t="s">
        <v>642</v>
      </c>
      <c r="C384" s="343">
        <v>2691.4</v>
      </c>
      <c r="D384" s="343"/>
      <c r="E384" s="257"/>
      <c r="F384" s="257"/>
      <c r="G384" s="123">
        <v>3604054</v>
      </c>
      <c r="H384" s="348">
        <f t="shared" si="190"/>
        <v>0</v>
      </c>
      <c r="I384" s="129">
        <v>0</v>
      </c>
      <c r="J384" s="129">
        <v>0</v>
      </c>
      <c r="K384" s="129">
        <v>0</v>
      </c>
      <c r="L384" s="129">
        <v>0</v>
      </c>
      <c r="M384" s="129">
        <v>0</v>
      </c>
      <c r="N384" s="348">
        <v>0</v>
      </c>
      <c r="O384" s="348">
        <v>0</v>
      </c>
      <c r="P384" s="348">
        <v>0</v>
      </c>
      <c r="Q384" s="348">
        <v>0</v>
      </c>
      <c r="R384" s="348">
        <v>0</v>
      </c>
      <c r="S384" s="348">
        <v>0</v>
      </c>
      <c r="T384" s="44">
        <v>0</v>
      </c>
      <c r="U384" s="348">
        <v>0</v>
      </c>
      <c r="V384" s="257" t="s">
        <v>997</v>
      </c>
      <c r="W384" s="351">
        <v>1081</v>
      </c>
      <c r="X384" s="348">
        <f t="shared" si="191"/>
        <v>3441871.57</v>
      </c>
      <c r="Y384" s="351">
        <v>0</v>
      </c>
      <c r="Z384" s="351">
        <v>0</v>
      </c>
      <c r="AA384" s="351">
        <v>0</v>
      </c>
      <c r="AB384" s="351">
        <v>0</v>
      </c>
      <c r="AC384" s="351">
        <v>0</v>
      </c>
      <c r="AD384" s="351">
        <v>0</v>
      </c>
      <c r="AE384" s="351">
        <v>0</v>
      </c>
      <c r="AF384" s="351">
        <v>0</v>
      </c>
      <c r="AG384" s="351">
        <v>0</v>
      </c>
      <c r="AH384" s="351">
        <v>0</v>
      </c>
      <c r="AI384" s="351">
        <v>0</v>
      </c>
      <c r="AJ384" s="351">
        <f t="shared" si="192"/>
        <v>108121.62</v>
      </c>
      <c r="AK384" s="351">
        <f t="shared" si="193"/>
        <v>54060.81</v>
      </c>
      <c r="AL384" s="351">
        <v>0</v>
      </c>
      <c r="AM384" s="352"/>
      <c r="AN384" s="352"/>
    </row>
    <row r="385" spans="1:40" s="19" customFormat="1" ht="9" hidden="1" customHeight="1">
      <c r="A385" s="349">
        <v>25</v>
      </c>
      <c r="B385" s="118" t="s">
        <v>643</v>
      </c>
      <c r="C385" s="343">
        <v>2434.4</v>
      </c>
      <c r="D385" s="343"/>
      <c r="E385" s="257"/>
      <c r="F385" s="257"/>
      <c r="G385" s="123">
        <v>2770554</v>
      </c>
      <c r="H385" s="348">
        <f t="shared" si="190"/>
        <v>0</v>
      </c>
      <c r="I385" s="129">
        <v>0</v>
      </c>
      <c r="J385" s="129">
        <v>0</v>
      </c>
      <c r="K385" s="129">
        <v>0</v>
      </c>
      <c r="L385" s="129">
        <v>0</v>
      </c>
      <c r="M385" s="129">
        <v>0</v>
      </c>
      <c r="N385" s="348">
        <v>0</v>
      </c>
      <c r="O385" s="348">
        <v>0</v>
      </c>
      <c r="P385" s="348">
        <v>0</v>
      </c>
      <c r="Q385" s="348">
        <v>0</v>
      </c>
      <c r="R385" s="348">
        <v>0</v>
      </c>
      <c r="S385" s="348">
        <v>0</v>
      </c>
      <c r="T385" s="44">
        <v>0</v>
      </c>
      <c r="U385" s="348">
        <v>0</v>
      </c>
      <c r="V385" s="257" t="s">
        <v>997</v>
      </c>
      <c r="W385" s="351">
        <v>831</v>
      </c>
      <c r="X385" s="348">
        <f t="shared" si="191"/>
        <v>2645879.0699999998</v>
      </c>
      <c r="Y385" s="351">
        <v>0</v>
      </c>
      <c r="Z385" s="351">
        <v>0</v>
      </c>
      <c r="AA385" s="351">
        <v>0</v>
      </c>
      <c r="AB385" s="351">
        <v>0</v>
      </c>
      <c r="AC385" s="351">
        <v>0</v>
      </c>
      <c r="AD385" s="351">
        <v>0</v>
      </c>
      <c r="AE385" s="351">
        <v>0</v>
      </c>
      <c r="AF385" s="351">
        <v>0</v>
      </c>
      <c r="AG385" s="351">
        <v>0</v>
      </c>
      <c r="AH385" s="351">
        <v>0</v>
      </c>
      <c r="AI385" s="351">
        <v>0</v>
      </c>
      <c r="AJ385" s="351">
        <f t="shared" si="192"/>
        <v>83116.62</v>
      </c>
      <c r="AK385" s="351">
        <f t="shared" si="193"/>
        <v>41558.31</v>
      </c>
      <c r="AL385" s="351">
        <v>0</v>
      </c>
      <c r="AM385" s="352"/>
      <c r="AN385" s="352"/>
    </row>
    <row r="386" spans="1:40" s="19" customFormat="1" ht="9" hidden="1" customHeight="1">
      <c r="A386" s="349">
        <v>26</v>
      </c>
      <c r="B386" s="118" t="s">
        <v>644</v>
      </c>
      <c r="C386" s="343">
        <v>3524.8</v>
      </c>
      <c r="D386" s="343"/>
      <c r="E386" s="257"/>
      <c r="F386" s="257"/>
      <c r="G386" s="117">
        <f>ROUND(H386+U386+X386+Z386+AB386+AD386+AF386+AH386+AI386+AJ386+AK386+AL386,2)</f>
        <v>2121929.6</v>
      </c>
      <c r="H386" s="348">
        <f>I386+K386+M386+O386+Q386+S386</f>
        <v>1952386.7200000002</v>
      </c>
      <c r="I386" s="129">
        <f>ROUND(0.955*('Приложение 1 КСП 2018-2019 гг'!J384*370),2)</f>
        <v>1245488.08</v>
      </c>
      <c r="J386" s="129">
        <v>0</v>
      </c>
      <c r="K386" s="129">
        <v>0</v>
      </c>
      <c r="L386" s="129">
        <v>0</v>
      </c>
      <c r="M386" s="129">
        <v>0</v>
      </c>
      <c r="N386" s="348">
        <v>0</v>
      </c>
      <c r="O386" s="348">
        <f>ROUND(0.955*('Приложение 1 КСП 2018-2019 гг'!J384*210),2)</f>
        <v>706898.64</v>
      </c>
      <c r="P386" s="348">
        <v>0</v>
      </c>
      <c r="Q386" s="348">
        <v>0</v>
      </c>
      <c r="R386" s="348">
        <v>0</v>
      </c>
      <c r="S386" s="348">
        <v>0</v>
      </c>
      <c r="T386" s="44">
        <v>0</v>
      </c>
      <c r="U386" s="348">
        <v>0</v>
      </c>
      <c r="V386" s="257"/>
      <c r="W386" s="351">
        <v>0</v>
      </c>
      <c r="X386" s="348">
        <v>0</v>
      </c>
      <c r="Y386" s="351">
        <v>0</v>
      </c>
      <c r="Z386" s="351">
        <v>0</v>
      </c>
      <c r="AA386" s="351">
        <v>0</v>
      </c>
      <c r="AB386" s="351">
        <v>0</v>
      </c>
      <c r="AC386" s="351">
        <v>0</v>
      </c>
      <c r="AD386" s="351">
        <v>0</v>
      </c>
      <c r="AE386" s="351">
        <v>0</v>
      </c>
      <c r="AF386" s="351">
        <v>0</v>
      </c>
      <c r="AG386" s="351">
        <v>0</v>
      </c>
      <c r="AH386" s="351">
        <v>0</v>
      </c>
      <c r="AI386" s="351">
        <f>ROUND(0.955*('Приложение 1 КСП 2018-2019 гг'!J384*22),2)</f>
        <v>74056.05</v>
      </c>
      <c r="AJ386" s="351">
        <f>ROUND('Приложение 1 КСП 2018-2019 гг'!J384*(370+210+22)*0.03,2)</f>
        <v>63657.89</v>
      </c>
      <c r="AK386" s="351">
        <f>ROUND('Приложение 1 КСП 2018-2019 гг'!J384*(370+210+22)*0.015,2)</f>
        <v>31828.94</v>
      </c>
      <c r="AL386" s="351">
        <v>0</v>
      </c>
      <c r="AM386" s="352"/>
      <c r="AN386" s="352"/>
    </row>
    <row r="387" spans="1:40" s="19" customFormat="1" ht="9" hidden="1" customHeight="1">
      <c r="A387" s="349">
        <v>27</v>
      </c>
      <c r="B387" s="118" t="s">
        <v>645</v>
      </c>
      <c r="C387" s="343">
        <v>3483</v>
      </c>
      <c r="D387" s="343"/>
      <c r="E387" s="257"/>
      <c r="F387" s="257"/>
      <c r="G387" s="123">
        <v>3000600</v>
      </c>
      <c r="H387" s="348">
        <f t="shared" si="190"/>
        <v>0</v>
      </c>
      <c r="I387" s="129">
        <v>0</v>
      </c>
      <c r="J387" s="129">
        <v>0</v>
      </c>
      <c r="K387" s="129">
        <v>0</v>
      </c>
      <c r="L387" s="129">
        <v>0</v>
      </c>
      <c r="M387" s="129">
        <v>0</v>
      </c>
      <c r="N387" s="348">
        <v>0</v>
      </c>
      <c r="O387" s="348">
        <v>0</v>
      </c>
      <c r="P387" s="348">
        <v>0</v>
      </c>
      <c r="Q387" s="348">
        <v>0</v>
      </c>
      <c r="R387" s="348">
        <v>0</v>
      </c>
      <c r="S387" s="348">
        <v>0</v>
      </c>
      <c r="T387" s="44">
        <v>0</v>
      </c>
      <c r="U387" s="348">
        <v>0</v>
      </c>
      <c r="V387" s="257" t="s">
        <v>997</v>
      </c>
      <c r="W387" s="351">
        <v>900</v>
      </c>
      <c r="X387" s="348">
        <f t="shared" si="191"/>
        <v>2865573</v>
      </c>
      <c r="Y387" s="351">
        <v>0</v>
      </c>
      <c r="Z387" s="351">
        <v>0</v>
      </c>
      <c r="AA387" s="351">
        <v>0</v>
      </c>
      <c r="AB387" s="351">
        <v>0</v>
      </c>
      <c r="AC387" s="351">
        <v>0</v>
      </c>
      <c r="AD387" s="351">
        <v>0</v>
      </c>
      <c r="AE387" s="351">
        <v>0</v>
      </c>
      <c r="AF387" s="351">
        <v>0</v>
      </c>
      <c r="AG387" s="351">
        <v>0</v>
      </c>
      <c r="AH387" s="351">
        <v>0</v>
      </c>
      <c r="AI387" s="351">
        <v>0</v>
      </c>
      <c r="AJ387" s="351">
        <f t="shared" si="192"/>
        <v>90018</v>
      </c>
      <c r="AK387" s="351">
        <f t="shared" si="193"/>
        <v>45009</v>
      </c>
      <c r="AL387" s="351">
        <v>0</v>
      </c>
      <c r="AM387" s="352"/>
      <c r="AN387" s="352"/>
    </row>
    <row r="388" spans="1:40" s="19" customFormat="1" ht="9" hidden="1" customHeight="1">
      <c r="A388" s="349">
        <v>28</v>
      </c>
      <c r="B388" s="118" t="s">
        <v>646</v>
      </c>
      <c r="C388" s="343">
        <v>1660.4</v>
      </c>
      <c r="D388" s="343"/>
      <c r="E388" s="257"/>
      <c r="F388" s="257"/>
      <c r="G388" s="123">
        <v>2092398</v>
      </c>
      <c r="H388" s="348">
        <f t="shared" si="190"/>
        <v>0</v>
      </c>
      <c r="I388" s="129">
        <v>0</v>
      </c>
      <c r="J388" s="129">
        <v>0</v>
      </c>
      <c r="K388" s="129">
        <v>0</v>
      </c>
      <c r="L388" s="129">
        <v>0</v>
      </c>
      <c r="M388" s="129">
        <v>0</v>
      </c>
      <c r="N388" s="348">
        <v>0</v>
      </c>
      <c r="O388" s="348">
        <v>0</v>
      </c>
      <c r="P388" s="348">
        <v>0</v>
      </c>
      <c r="Q388" s="348">
        <v>0</v>
      </c>
      <c r="R388" s="348">
        <v>0</v>
      </c>
      <c r="S388" s="348">
        <v>0</v>
      </c>
      <c r="T388" s="44">
        <v>0</v>
      </c>
      <c r="U388" s="348">
        <v>0</v>
      </c>
      <c r="V388" s="257" t="s">
        <v>998</v>
      </c>
      <c r="W388" s="351">
        <v>647</v>
      </c>
      <c r="X388" s="348">
        <f t="shared" si="191"/>
        <v>1998240.09</v>
      </c>
      <c r="Y388" s="351">
        <v>0</v>
      </c>
      <c r="Z388" s="351">
        <v>0</v>
      </c>
      <c r="AA388" s="351">
        <v>0</v>
      </c>
      <c r="AB388" s="351">
        <v>0</v>
      </c>
      <c r="AC388" s="351">
        <v>0</v>
      </c>
      <c r="AD388" s="351">
        <v>0</v>
      </c>
      <c r="AE388" s="351">
        <v>0</v>
      </c>
      <c r="AF388" s="351">
        <v>0</v>
      </c>
      <c r="AG388" s="351">
        <v>0</v>
      </c>
      <c r="AH388" s="351">
        <v>0</v>
      </c>
      <c r="AI388" s="351">
        <v>0</v>
      </c>
      <c r="AJ388" s="351">
        <f t="shared" si="192"/>
        <v>62771.94</v>
      </c>
      <c r="AK388" s="351">
        <f t="shared" si="193"/>
        <v>31385.97</v>
      </c>
      <c r="AL388" s="351">
        <v>0</v>
      </c>
      <c r="AM388" s="352"/>
      <c r="AN388" s="352"/>
    </row>
    <row r="389" spans="1:40" s="19" customFormat="1" ht="9" hidden="1" customHeight="1">
      <c r="A389" s="349">
        <v>29</v>
      </c>
      <c r="B389" s="118" t="s">
        <v>647</v>
      </c>
      <c r="C389" s="343">
        <v>3517.9</v>
      </c>
      <c r="D389" s="343"/>
      <c r="E389" s="257"/>
      <c r="F389" s="257"/>
      <c r="G389" s="123">
        <v>3213976</v>
      </c>
      <c r="H389" s="348">
        <f t="shared" si="190"/>
        <v>0</v>
      </c>
      <c r="I389" s="129">
        <v>0</v>
      </c>
      <c r="J389" s="129">
        <v>0</v>
      </c>
      <c r="K389" s="129">
        <v>0</v>
      </c>
      <c r="L389" s="129">
        <v>0</v>
      </c>
      <c r="M389" s="129">
        <v>0</v>
      </c>
      <c r="N389" s="348">
        <v>0</v>
      </c>
      <c r="O389" s="348">
        <v>0</v>
      </c>
      <c r="P389" s="348">
        <v>0</v>
      </c>
      <c r="Q389" s="348">
        <v>0</v>
      </c>
      <c r="R389" s="348">
        <v>0</v>
      </c>
      <c r="S389" s="348">
        <v>0</v>
      </c>
      <c r="T389" s="44">
        <v>0</v>
      </c>
      <c r="U389" s="348">
        <v>0</v>
      </c>
      <c r="V389" s="257" t="s">
        <v>997</v>
      </c>
      <c r="W389" s="351">
        <v>964</v>
      </c>
      <c r="X389" s="348">
        <f t="shared" si="191"/>
        <v>3069347.08</v>
      </c>
      <c r="Y389" s="351">
        <v>0</v>
      </c>
      <c r="Z389" s="351">
        <v>0</v>
      </c>
      <c r="AA389" s="351">
        <v>0</v>
      </c>
      <c r="AB389" s="351">
        <v>0</v>
      </c>
      <c r="AC389" s="351">
        <v>0</v>
      </c>
      <c r="AD389" s="351">
        <v>0</v>
      </c>
      <c r="AE389" s="351">
        <v>0</v>
      </c>
      <c r="AF389" s="351">
        <v>0</v>
      </c>
      <c r="AG389" s="351">
        <v>0</v>
      </c>
      <c r="AH389" s="351">
        <v>0</v>
      </c>
      <c r="AI389" s="351">
        <v>0</v>
      </c>
      <c r="AJ389" s="351">
        <f t="shared" si="192"/>
        <v>96419.28</v>
      </c>
      <c r="AK389" s="351">
        <f t="shared" si="193"/>
        <v>48209.64</v>
      </c>
      <c r="AL389" s="351">
        <v>0</v>
      </c>
      <c r="AM389" s="352"/>
      <c r="AN389" s="352"/>
    </row>
    <row r="390" spans="1:40" s="19" customFormat="1" ht="9" hidden="1" customHeight="1">
      <c r="A390" s="349">
        <v>30</v>
      </c>
      <c r="B390" s="118" t="s">
        <v>648</v>
      </c>
      <c r="C390" s="343">
        <v>3543</v>
      </c>
      <c r="D390" s="343"/>
      <c r="E390" s="257"/>
      <c r="F390" s="257"/>
      <c r="G390" s="123">
        <v>3270654</v>
      </c>
      <c r="H390" s="348">
        <f t="shared" si="190"/>
        <v>0</v>
      </c>
      <c r="I390" s="129">
        <v>0</v>
      </c>
      <c r="J390" s="129">
        <v>0</v>
      </c>
      <c r="K390" s="129">
        <v>0</v>
      </c>
      <c r="L390" s="129">
        <v>0</v>
      </c>
      <c r="M390" s="129">
        <v>0</v>
      </c>
      <c r="N390" s="348">
        <v>0</v>
      </c>
      <c r="O390" s="348">
        <v>0</v>
      </c>
      <c r="P390" s="348">
        <v>0</v>
      </c>
      <c r="Q390" s="348">
        <v>0</v>
      </c>
      <c r="R390" s="348">
        <v>0</v>
      </c>
      <c r="S390" s="348">
        <v>0</v>
      </c>
      <c r="T390" s="44">
        <v>0</v>
      </c>
      <c r="U390" s="348">
        <v>0</v>
      </c>
      <c r="V390" s="257" t="s">
        <v>997</v>
      </c>
      <c r="W390" s="351">
        <v>981</v>
      </c>
      <c r="X390" s="348">
        <f t="shared" si="191"/>
        <v>3123474.57</v>
      </c>
      <c r="Y390" s="351">
        <v>0</v>
      </c>
      <c r="Z390" s="351">
        <v>0</v>
      </c>
      <c r="AA390" s="351">
        <v>0</v>
      </c>
      <c r="AB390" s="351">
        <v>0</v>
      </c>
      <c r="AC390" s="351">
        <v>0</v>
      </c>
      <c r="AD390" s="351">
        <v>0</v>
      </c>
      <c r="AE390" s="351">
        <v>0</v>
      </c>
      <c r="AF390" s="351">
        <v>0</v>
      </c>
      <c r="AG390" s="351">
        <v>0</v>
      </c>
      <c r="AH390" s="351">
        <v>0</v>
      </c>
      <c r="AI390" s="351">
        <v>0</v>
      </c>
      <c r="AJ390" s="351">
        <f t="shared" si="192"/>
        <v>98119.62</v>
      </c>
      <c r="AK390" s="351">
        <f t="shared" si="193"/>
        <v>49059.81</v>
      </c>
      <c r="AL390" s="351">
        <v>0</v>
      </c>
      <c r="AM390" s="352"/>
      <c r="AN390" s="352"/>
    </row>
    <row r="391" spans="1:40" s="19" customFormat="1" ht="9" hidden="1" customHeight="1">
      <c r="A391" s="349">
        <v>31</v>
      </c>
      <c r="B391" s="118" t="s">
        <v>649</v>
      </c>
      <c r="C391" s="343">
        <v>3546.1</v>
      </c>
      <c r="D391" s="343"/>
      <c r="E391" s="257"/>
      <c r="F391" s="257"/>
      <c r="G391" s="123">
        <v>3243982</v>
      </c>
      <c r="H391" s="348">
        <f t="shared" si="190"/>
        <v>0</v>
      </c>
      <c r="I391" s="129">
        <v>0</v>
      </c>
      <c r="J391" s="129">
        <v>0</v>
      </c>
      <c r="K391" s="129">
        <v>0</v>
      </c>
      <c r="L391" s="129">
        <v>0</v>
      </c>
      <c r="M391" s="129">
        <v>0</v>
      </c>
      <c r="N391" s="348">
        <v>0</v>
      </c>
      <c r="O391" s="348">
        <v>0</v>
      </c>
      <c r="P391" s="348">
        <v>0</v>
      </c>
      <c r="Q391" s="348">
        <v>0</v>
      </c>
      <c r="R391" s="348">
        <v>0</v>
      </c>
      <c r="S391" s="348">
        <v>0</v>
      </c>
      <c r="T391" s="44">
        <v>0</v>
      </c>
      <c r="U391" s="348">
        <v>0</v>
      </c>
      <c r="V391" s="257" t="s">
        <v>997</v>
      </c>
      <c r="W391" s="351">
        <v>973</v>
      </c>
      <c r="X391" s="348">
        <f t="shared" si="191"/>
        <v>3098002.81</v>
      </c>
      <c r="Y391" s="351">
        <v>0</v>
      </c>
      <c r="Z391" s="351">
        <v>0</v>
      </c>
      <c r="AA391" s="351">
        <v>0</v>
      </c>
      <c r="AB391" s="351">
        <v>0</v>
      </c>
      <c r="AC391" s="351">
        <v>0</v>
      </c>
      <c r="AD391" s="351">
        <v>0</v>
      </c>
      <c r="AE391" s="351">
        <v>0</v>
      </c>
      <c r="AF391" s="351">
        <v>0</v>
      </c>
      <c r="AG391" s="351">
        <v>0</v>
      </c>
      <c r="AH391" s="351">
        <v>0</v>
      </c>
      <c r="AI391" s="351">
        <v>0</v>
      </c>
      <c r="AJ391" s="351">
        <f t="shared" si="192"/>
        <v>97319.46</v>
      </c>
      <c r="AK391" s="351">
        <f t="shared" si="193"/>
        <v>48659.73</v>
      </c>
      <c r="AL391" s="351">
        <v>0</v>
      </c>
      <c r="AM391" s="352"/>
      <c r="AN391" s="352"/>
    </row>
    <row r="392" spans="1:40" s="19" customFormat="1" ht="9" hidden="1" customHeight="1">
      <c r="A392" s="349">
        <v>32</v>
      </c>
      <c r="B392" s="118" t="s">
        <v>650</v>
      </c>
      <c r="C392" s="343">
        <v>2552.8000000000002</v>
      </c>
      <c r="D392" s="343"/>
      <c r="E392" s="257"/>
      <c r="F392" s="257"/>
      <c r="G392" s="123">
        <v>3800760</v>
      </c>
      <c r="H392" s="348">
        <f t="shared" si="190"/>
        <v>0</v>
      </c>
      <c r="I392" s="129">
        <v>0</v>
      </c>
      <c r="J392" s="129">
        <v>0</v>
      </c>
      <c r="K392" s="129">
        <v>0</v>
      </c>
      <c r="L392" s="129">
        <v>0</v>
      </c>
      <c r="M392" s="129">
        <v>0</v>
      </c>
      <c r="N392" s="348">
        <v>0</v>
      </c>
      <c r="O392" s="348">
        <v>0</v>
      </c>
      <c r="P392" s="348">
        <v>0</v>
      </c>
      <c r="Q392" s="348">
        <v>0</v>
      </c>
      <c r="R392" s="348">
        <v>0</v>
      </c>
      <c r="S392" s="348">
        <v>0</v>
      </c>
      <c r="T392" s="44">
        <v>0</v>
      </c>
      <c r="U392" s="348">
        <v>0</v>
      </c>
      <c r="V392" s="257" t="s">
        <v>997</v>
      </c>
      <c r="W392" s="351">
        <v>1140</v>
      </c>
      <c r="X392" s="348">
        <f t="shared" si="191"/>
        <v>3629725.8</v>
      </c>
      <c r="Y392" s="351">
        <v>0</v>
      </c>
      <c r="Z392" s="351">
        <v>0</v>
      </c>
      <c r="AA392" s="351">
        <v>0</v>
      </c>
      <c r="AB392" s="351">
        <v>0</v>
      </c>
      <c r="AC392" s="351">
        <v>0</v>
      </c>
      <c r="AD392" s="351">
        <v>0</v>
      </c>
      <c r="AE392" s="351">
        <v>0</v>
      </c>
      <c r="AF392" s="351">
        <v>0</v>
      </c>
      <c r="AG392" s="351">
        <v>0</v>
      </c>
      <c r="AH392" s="351">
        <v>0</v>
      </c>
      <c r="AI392" s="351">
        <v>0</v>
      </c>
      <c r="AJ392" s="351">
        <f t="shared" si="192"/>
        <v>114022.8</v>
      </c>
      <c r="AK392" s="351">
        <f t="shared" si="193"/>
        <v>57011.4</v>
      </c>
      <c r="AL392" s="351">
        <v>0</v>
      </c>
      <c r="AM392" s="352"/>
      <c r="AN392" s="352"/>
    </row>
    <row r="393" spans="1:40" s="19" customFormat="1" ht="9" hidden="1" customHeight="1">
      <c r="A393" s="349">
        <v>33</v>
      </c>
      <c r="B393" s="118" t="s">
        <v>651</v>
      </c>
      <c r="C393" s="343">
        <v>2652.1</v>
      </c>
      <c r="D393" s="343"/>
      <c r="E393" s="257"/>
      <c r="F393" s="257"/>
      <c r="G393" s="123">
        <v>3764086</v>
      </c>
      <c r="H393" s="348">
        <f t="shared" si="190"/>
        <v>0</v>
      </c>
      <c r="I393" s="129">
        <v>0</v>
      </c>
      <c r="J393" s="129">
        <v>0</v>
      </c>
      <c r="K393" s="129">
        <v>0</v>
      </c>
      <c r="L393" s="129">
        <v>0</v>
      </c>
      <c r="M393" s="129">
        <v>0</v>
      </c>
      <c r="N393" s="348">
        <v>0</v>
      </c>
      <c r="O393" s="348">
        <v>0</v>
      </c>
      <c r="P393" s="348">
        <v>0</v>
      </c>
      <c r="Q393" s="348">
        <v>0</v>
      </c>
      <c r="R393" s="348">
        <v>0</v>
      </c>
      <c r="S393" s="348">
        <v>0</v>
      </c>
      <c r="T393" s="44">
        <v>0</v>
      </c>
      <c r="U393" s="348">
        <v>0</v>
      </c>
      <c r="V393" s="257" t="s">
        <v>997</v>
      </c>
      <c r="W393" s="351">
        <v>1129</v>
      </c>
      <c r="X393" s="348">
        <f t="shared" si="191"/>
        <v>3594702.13</v>
      </c>
      <c r="Y393" s="351">
        <v>0</v>
      </c>
      <c r="Z393" s="351">
        <v>0</v>
      </c>
      <c r="AA393" s="351">
        <v>0</v>
      </c>
      <c r="AB393" s="351">
        <v>0</v>
      </c>
      <c r="AC393" s="351">
        <v>0</v>
      </c>
      <c r="AD393" s="351">
        <v>0</v>
      </c>
      <c r="AE393" s="351">
        <v>0</v>
      </c>
      <c r="AF393" s="351">
        <v>0</v>
      </c>
      <c r="AG393" s="351">
        <v>0</v>
      </c>
      <c r="AH393" s="351">
        <v>0</v>
      </c>
      <c r="AI393" s="351">
        <v>0</v>
      </c>
      <c r="AJ393" s="351">
        <f t="shared" si="192"/>
        <v>112922.58</v>
      </c>
      <c r="AK393" s="351">
        <f t="shared" si="193"/>
        <v>56461.29</v>
      </c>
      <c r="AL393" s="351">
        <v>0</v>
      </c>
      <c r="AM393" s="352"/>
      <c r="AN393" s="352"/>
    </row>
    <row r="394" spans="1:40" s="19" customFormat="1" ht="9" hidden="1" customHeight="1">
      <c r="A394" s="349">
        <v>34</v>
      </c>
      <c r="B394" s="118" t="s">
        <v>652</v>
      </c>
      <c r="C394" s="343">
        <v>3633.5</v>
      </c>
      <c r="D394" s="343"/>
      <c r="E394" s="257"/>
      <c r="F394" s="257"/>
      <c r="G394" s="123">
        <v>4117490</v>
      </c>
      <c r="H394" s="348">
        <f t="shared" si="190"/>
        <v>0</v>
      </c>
      <c r="I394" s="129">
        <v>0</v>
      </c>
      <c r="J394" s="129">
        <v>0</v>
      </c>
      <c r="K394" s="129">
        <v>0</v>
      </c>
      <c r="L394" s="129">
        <v>0</v>
      </c>
      <c r="M394" s="129">
        <v>0</v>
      </c>
      <c r="N394" s="348">
        <v>0</v>
      </c>
      <c r="O394" s="348">
        <v>0</v>
      </c>
      <c r="P394" s="348">
        <v>0</v>
      </c>
      <c r="Q394" s="348">
        <v>0</v>
      </c>
      <c r="R394" s="348">
        <v>0</v>
      </c>
      <c r="S394" s="348">
        <v>0</v>
      </c>
      <c r="T394" s="44">
        <v>0</v>
      </c>
      <c r="U394" s="348">
        <v>0</v>
      </c>
      <c r="V394" s="257" t="s">
        <v>997</v>
      </c>
      <c r="W394" s="351">
        <v>1235</v>
      </c>
      <c r="X394" s="348">
        <f t="shared" si="191"/>
        <v>3932202.95</v>
      </c>
      <c r="Y394" s="351">
        <v>0</v>
      </c>
      <c r="Z394" s="351">
        <v>0</v>
      </c>
      <c r="AA394" s="351">
        <v>0</v>
      </c>
      <c r="AB394" s="351">
        <v>0</v>
      </c>
      <c r="AC394" s="351">
        <v>0</v>
      </c>
      <c r="AD394" s="351">
        <v>0</v>
      </c>
      <c r="AE394" s="351">
        <v>0</v>
      </c>
      <c r="AF394" s="351">
        <v>0</v>
      </c>
      <c r="AG394" s="351">
        <v>0</v>
      </c>
      <c r="AH394" s="351">
        <v>0</v>
      </c>
      <c r="AI394" s="351">
        <v>0</v>
      </c>
      <c r="AJ394" s="351">
        <f t="shared" si="192"/>
        <v>123524.7</v>
      </c>
      <c r="AK394" s="351">
        <f t="shared" si="193"/>
        <v>61762.35</v>
      </c>
      <c r="AL394" s="351">
        <v>0</v>
      </c>
      <c r="AM394" s="352"/>
      <c r="AN394" s="352"/>
    </row>
    <row r="395" spans="1:40" s="19" customFormat="1" ht="9" hidden="1" customHeight="1">
      <c r="A395" s="349">
        <v>35</v>
      </c>
      <c r="B395" s="118" t="s">
        <v>653</v>
      </c>
      <c r="C395" s="343">
        <v>1072.0999999999999</v>
      </c>
      <c r="D395" s="343"/>
      <c r="E395" s="257"/>
      <c r="F395" s="257"/>
      <c r="G395" s="123">
        <v>833500</v>
      </c>
      <c r="H395" s="348">
        <f t="shared" si="190"/>
        <v>0</v>
      </c>
      <c r="I395" s="129">
        <v>0</v>
      </c>
      <c r="J395" s="129">
        <v>0</v>
      </c>
      <c r="K395" s="129">
        <v>0</v>
      </c>
      <c r="L395" s="129">
        <v>0</v>
      </c>
      <c r="M395" s="129">
        <v>0</v>
      </c>
      <c r="N395" s="348">
        <v>0</v>
      </c>
      <c r="O395" s="348">
        <v>0</v>
      </c>
      <c r="P395" s="348">
        <v>0</v>
      </c>
      <c r="Q395" s="348">
        <v>0</v>
      </c>
      <c r="R395" s="348">
        <v>0</v>
      </c>
      <c r="S395" s="348">
        <v>0</v>
      </c>
      <c r="T395" s="44">
        <v>0</v>
      </c>
      <c r="U395" s="348">
        <v>0</v>
      </c>
      <c r="V395" s="257" t="s">
        <v>997</v>
      </c>
      <c r="W395" s="351">
        <v>250</v>
      </c>
      <c r="X395" s="348">
        <f t="shared" si="191"/>
        <v>795992.5</v>
      </c>
      <c r="Y395" s="351">
        <v>0</v>
      </c>
      <c r="Z395" s="351">
        <v>0</v>
      </c>
      <c r="AA395" s="351">
        <v>0</v>
      </c>
      <c r="AB395" s="351">
        <v>0</v>
      </c>
      <c r="AC395" s="351">
        <v>0</v>
      </c>
      <c r="AD395" s="351">
        <v>0</v>
      </c>
      <c r="AE395" s="351">
        <v>0</v>
      </c>
      <c r="AF395" s="351">
        <v>0</v>
      </c>
      <c r="AG395" s="351">
        <v>0</v>
      </c>
      <c r="AH395" s="351">
        <v>0</v>
      </c>
      <c r="AI395" s="351">
        <v>0</v>
      </c>
      <c r="AJ395" s="351">
        <f t="shared" si="192"/>
        <v>25005</v>
      </c>
      <c r="AK395" s="351">
        <f t="shared" si="193"/>
        <v>12502.5</v>
      </c>
      <c r="AL395" s="351">
        <v>0</v>
      </c>
      <c r="AM395" s="352"/>
      <c r="AN395" s="352"/>
    </row>
    <row r="396" spans="1:40" s="19" customFormat="1" ht="9" hidden="1" customHeight="1">
      <c r="A396" s="349">
        <v>36</v>
      </c>
      <c r="B396" s="118" t="s">
        <v>654</v>
      </c>
      <c r="C396" s="343">
        <v>2518.3000000000002</v>
      </c>
      <c r="D396" s="343"/>
      <c r="E396" s="257"/>
      <c r="F396" s="257"/>
      <c r="G396" s="123">
        <v>3104640</v>
      </c>
      <c r="H396" s="348">
        <f t="shared" si="190"/>
        <v>0</v>
      </c>
      <c r="I396" s="129">
        <v>0</v>
      </c>
      <c r="J396" s="129">
        <v>0</v>
      </c>
      <c r="K396" s="129">
        <v>0</v>
      </c>
      <c r="L396" s="129">
        <v>0</v>
      </c>
      <c r="M396" s="129">
        <v>0</v>
      </c>
      <c r="N396" s="348">
        <v>0</v>
      </c>
      <c r="O396" s="348">
        <v>0</v>
      </c>
      <c r="P396" s="348">
        <v>0</v>
      </c>
      <c r="Q396" s="348">
        <v>0</v>
      </c>
      <c r="R396" s="348">
        <v>0</v>
      </c>
      <c r="S396" s="348">
        <v>0</v>
      </c>
      <c r="T396" s="44">
        <v>0</v>
      </c>
      <c r="U396" s="348">
        <v>0</v>
      </c>
      <c r="V396" s="257" t="s">
        <v>998</v>
      </c>
      <c r="W396" s="351">
        <v>960</v>
      </c>
      <c r="X396" s="348">
        <f t="shared" si="191"/>
        <v>2964931.2</v>
      </c>
      <c r="Y396" s="351">
        <v>0</v>
      </c>
      <c r="Z396" s="351">
        <v>0</v>
      </c>
      <c r="AA396" s="351">
        <v>0</v>
      </c>
      <c r="AB396" s="351">
        <v>0</v>
      </c>
      <c r="AC396" s="351">
        <v>0</v>
      </c>
      <c r="AD396" s="351">
        <v>0</v>
      </c>
      <c r="AE396" s="351">
        <v>0</v>
      </c>
      <c r="AF396" s="351">
        <v>0</v>
      </c>
      <c r="AG396" s="351">
        <v>0</v>
      </c>
      <c r="AH396" s="351">
        <v>0</v>
      </c>
      <c r="AI396" s="351">
        <v>0</v>
      </c>
      <c r="AJ396" s="351">
        <f t="shared" si="192"/>
        <v>93139.199999999997</v>
      </c>
      <c r="AK396" s="351">
        <f t="shared" si="193"/>
        <v>46569.599999999999</v>
      </c>
      <c r="AL396" s="351">
        <v>0</v>
      </c>
      <c r="AM396" s="352"/>
      <c r="AN396" s="352"/>
    </row>
    <row r="397" spans="1:40" s="19" customFormat="1" ht="9" hidden="1" customHeight="1">
      <c r="A397" s="349">
        <v>37</v>
      </c>
      <c r="B397" s="118" t="s">
        <v>655</v>
      </c>
      <c r="C397" s="343">
        <v>3239.1</v>
      </c>
      <c r="D397" s="343"/>
      <c r="E397" s="257"/>
      <c r="F397" s="257"/>
      <c r="G397" s="123">
        <v>3386677.2</v>
      </c>
      <c r="H397" s="348">
        <f t="shared" si="190"/>
        <v>0</v>
      </c>
      <c r="I397" s="129">
        <v>0</v>
      </c>
      <c r="J397" s="129">
        <v>0</v>
      </c>
      <c r="K397" s="129">
        <v>0</v>
      </c>
      <c r="L397" s="129">
        <v>0</v>
      </c>
      <c r="M397" s="129">
        <v>0</v>
      </c>
      <c r="N397" s="348">
        <v>0</v>
      </c>
      <c r="O397" s="348">
        <v>0</v>
      </c>
      <c r="P397" s="348">
        <v>0</v>
      </c>
      <c r="Q397" s="348">
        <v>0</v>
      </c>
      <c r="R397" s="348">
        <v>0</v>
      </c>
      <c r="S397" s="348">
        <v>0</v>
      </c>
      <c r="T397" s="44">
        <v>0</v>
      </c>
      <c r="U397" s="348">
        <v>0</v>
      </c>
      <c r="V397" s="257" t="s">
        <v>997</v>
      </c>
      <c r="W397" s="351">
        <v>1015.8</v>
      </c>
      <c r="X397" s="348">
        <f>ROUND(G397/100*95.5-0.01,2)</f>
        <v>3234276.72</v>
      </c>
      <c r="Y397" s="351">
        <v>0</v>
      </c>
      <c r="Z397" s="351">
        <v>0</v>
      </c>
      <c r="AA397" s="351">
        <v>0</v>
      </c>
      <c r="AB397" s="351">
        <v>0</v>
      </c>
      <c r="AC397" s="351">
        <v>0</v>
      </c>
      <c r="AD397" s="351">
        <v>0</v>
      </c>
      <c r="AE397" s="351">
        <v>0</v>
      </c>
      <c r="AF397" s="351">
        <v>0</v>
      </c>
      <c r="AG397" s="351">
        <v>0</v>
      </c>
      <c r="AH397" s="351">
        <v>0</v>
      </c>
      <c r="AI397" s="351">
        <v>0</v>
      </c>
      <c r="AJ397" s="351">
        <f t="shared" si="192"/>
        <v>101600.32000000001</v>
      </c>
      <c r="AK397" s="351">
        <f t="shared" si="193"/>
        <v>50800.160000000003</v>
      </c>
      <c r="AL397" s="351">
        <v>0</v>
      </c>
      <c r="AM397" s="352"/>
      <c r="AN397" s="352"/>
    </row>
    <row r="398" spans="1:40" s="19" customFormat="1" ht="9" hidden="1" customHeight="1">
      <c r="A398" s="349">
        <v>38</v>
      </c>
      <c r="B398" s="118" t="s">
        <v>656</v>
      </c>
      <c r="C398" s="343">
        <v>3151.3</v>
      </c>
      <c r="D398" s="343"/>
      <c r="E398" s="257"/>
      <c r="F398" s="257"/>
      <c r="G398" s="123">
        <v>3484030</v>
      </c>
      <c r="H398" s="348">
        <f t="shared" si="190"/>
        <v>0</v>
      </c>
      <c r="I398" s="129">
        <v>0</v>
      </c>
      <c r="J398" s="129">
        <v>0</v>
      </c>
      <c r="K398" s="129">
        <v>0</v>
      </c>
      <c r="L398" s="129">
        <v>0</v>
      </c>
      <c r="M398" s="129">
        <v>0</v>
      </c>
      <c r="N398" s="348">
        <v>0</v>
      </c>
      <c r="O398" s="348">
        <v>0</v>
      </c>
      <c r="P398" s="348">
        <v>0</v>
      </c>
      <c r="Q398" s="348">
        <v>0</v>
      </c>
      <c r="R398" s="348">
        <v>0</v>
      </c>
      <c r="S398" s="348">
        <v>0</v>
      </c>
      <c r="T398" s="44">
        <v>0</v>
      </c>
      <c r="U398" s="348">
        <v>0</v>
      </c>
      <c r="V398" s="257" t="s">
        <v>997</v>
      </c>
      <c r="W398" s="351">
        <v>1045</v>
      </c>
      <c r="X398" s="348">
        <f t="shared" si="191"/>
        <v>3327248.65</v>
      </c>
      <c r="Y398" s="351">
        <v>0</v>
      </c>
      <c r="Z398" s="351">
        <v>0</v>
      </c>
      <c r="AA398" s="351">
        <v>0</v>
      </c>
      <c r="AB398" s="351">
        <v>0</v>
      </c>
      <c r="AC398" s="351">
        <v>0</v>
      </c>
      <c r="AD398" s="351">
        <v>0</v>
      </c>
      <c r="AE398" s="351">
        <v>0</v>
      </c>
      <c r="AF398" s="351">
        <v>0</v>
      </c>
      <c r="AG398" s="351">
        <v>0</v>
      </c>
      <c r="AH398" s="351">
        <v>0</v>
      </c>
      <c r="AI398" s="351">
        <v>0</v>
      </c>
      <c r="AJ398" s="351">
        <f t="shared" si="192"/>
        <v>104520.9</v>
      </c>
      <c r="AK398" s="351">
        <f t="shared" si="193"/>
        <v>52260.45</v>
      </c>
      <c r="AL398" s="351">
        <v>0</v>
      </c>
      <c r="AM398" s="352"/>
      <c r="AN398" s="352"/>
    </row>
    <row r="399" spans="1:40" s="19" customFormat="1" ht="9" hidden="1" customHeight="1">
      <c r="A399" s="349">
        <v>39</v>
      </c>
      <c r="B399" s="118" t="s">
        <v>657</v>
      </c>
      <c r="C399" s="343">
        <v>2529.1999999999998</v>
      </c>
      <c r="D399" s="343"/>
      <c r="E399" s="257"/>
      <c r="F399" s="257"/>
      <c r="G399" s="123">
        <v>2297126</v>
      </c>
      <c r="H399" s="348">
        <f t="shared" si="190"/>
        <v>0</v>
      </c>
      <c r="I399" s="129">
        <v>0</v>
      </c>
      <c r="J399" s="129">
        <v>0</v>
      </c>
      <c r="K399" s="129">
        <v>0</v>
      </c>
      <c r="L399" s="129">
        <v>0</v>
      </c>
      <c r="M399" s="129">
        <v>0</v>
      </c>
      <c r="N399" s="348">
        <v>0</v>
      </c>
      <c r="O399" s="348">
        <v>0</v>
      </c>
      <c r="P399" s="348">
        <v>0</v>
      </c>
      <c r="Q399" s="348">
        <v>0</v>
      </c>
      <c r="R399" s="348">
        <v>0</v>
      </c>
      <c r="S399" s="348">
        <v>0</v>
      </c>
      <c r="T399" s="44">
        <v>0</v>
      </c>
      <c r="U399" s="348">
        <v>0</v>
      </c>
      <c r="V399" s="257" t="s">
        <v>997</v>
      </c>
      <c r="W399" s="351">
        <v>689</v>
      </c>
      <c r="X399" s="348">
        <f t="shared" si="191"/>
        <v>2193755.33</v>
      </c>
      <c r="Y399" s="351">
        <v>0</v>
      </c>
      <c r="Z399" s="351">
        <v>0</v>
      </c>
      <c r="AA399" s="351">
        <v>0</v>
      </c>
      <c r="AB399" s="351">
        <v>0</v>
      </c>
      <c r="AC399" s="351">
        <v>0</v>
      </c>
      <c r="AD399" s="351">
        <v>0</v>
      </c>
      <c r="AE399" s="351">
        <v>0</v>
      </c>
      <c r="AF399" s="351">
        <v>0</v>
      </c>
      <c r="AG399" s="351">
        <v>0</v>
      </c>
      <c r="AH399" s="351">
        <v>0</v>
      </c>
      <c r="AI399" s="351">
        <v>0</v>
      </c>
      <c r="AJ399" s="351">
        <f t="shared" si="192"/>
        <v>68913.78</v>
      </c>
      <c r="AK399" s="351">
        <f t="shared" si="193"/>
        <v>34456.89</v>
      </c>
      <c r="AL399" s="351">
        <v>0</v>
      </c>
      <c r="AM399" s="352"/>
      <c r="AN399" s="352"/>
    </row>
    <row r="400" spans="1:40" s="19" customFormat="1" ht="9" hidden="1" customHeight="1">
      <c r="A400" s="349">
        <v>40</v>
      </c>
      <c r="B400" s="118" t="s">
        <v>658</v>
      </c>
      <c r="C400" s="343">
        <v>2706.6</v>
      </c>
      <c r="D400" s="343"/>
      <c r="E400" s="257"/>
      <c r="F400" s="257"/>
      <c r="G400" s="123">
        <v>3453912</v>
      </c>
      <c r="H400" s="348">
        <f t="shared" si="190"/>
        <v>0</v>
      </c>
      <c r="I400" s="129">
        <v>0</v>
      </c>
      <c r="J400" s="129">
        <v>0</v>
      </c>
      <c r="K400" s="129">
        <v>0</v>
      </c>
      <c r="L400" s="129">
        <v>0</v>
      </c>
      <c r="M400" s="129">
        <v>0</v>
      </c>
      <c r="N400" s="348">
        <v>0</v>
      </c>
      <c r="O400" s="348">
        <v>0</v>
      </c>
      <c r="P400" s="348">
        <v>0</v>
      </c>
      <c r="Q400" s="348">
        <v>0</v>
      </c>
      <c r="R400" s="348">
        <v>0</v>
      </c>
      <c r="S400" s="348">
        <v>0</v>
      </c>
      <c r="T400" s="44">
        <v>0</v>
      </c>
      <c r="U400" s="348">
        <v>0</v>
      </c>
      <c r="V400" s="257" t="s">
        <v>998</v>
      </c>
      <c r="W400" s="351">
        <v>1068</v>
      </c>
      <c r="X400" s="348">
        <f t="shared" si="191"/>
        <v>3298485.96</v>
      </c>
      <c r="Y400" s="351">
        <v>0</v>
      </c>
      <c r="Z400" s="351">
        <v>0</v>
      </c>
      <c r="AA400" s="351">
        <v>0</v>
      </c>
      <c r="AB400" s="351">
        <v>0</v>
      </c>
      <c r="AC400" s="351">
        <v>0</v>
      </c>
      <c r="AD400" s="351">
        <v>0</v>
      </c>
      <c r="AE400" s="351">
        <v>0</v>
      </c>
      <c r="AF400" s="351">
        <v>0</v>
      </c>
      <c r="AG400" s="351">
        <v>0</v>
      </c>
      <c r="AH400" s="351">
        <v>0</v>
      </c>
      <c r="AI400" s="351">
        <v>0</v>
      </c>
      <c r="AJ400" s="351">
        <f t="shared" si="192"/>
        <v>103617.36</v>
      </c>
      <c r="AK400" s="351">
        <f t="shared" si="193"/>
        <v>51808.68</v>
      </c>
      <c r="AL400" s="351">
        <v>0</v>
      </c>
      <c r="AM400" s="352"/>
      <c r="AN400" s="352"/>
    </row>
    <row r="401" spans="1:40" s="19" customFormat="1" ht="9" hidden="1" customHeight="1">
      <c r="A401" s="349">
        <v>41</v>
      </c>
      <c r="B401" s="118" t="s">
        <v>659</v>
      </c>
      <c r="C401" s="343">
        <v>3586.8</v>
      </c>
      <c r="D401" s="343"/>
      <c r="E401" s="257"/>
      <c r="F401" s="257"/>
      <c r="G401" s="123">
        <v>3897446</v>
      </c>
      <c r="H401" s="348">
        <f t="shared" si="190"/>
        <v>0</v>
      </c>
      <c r="I401" s="129">
        <v>0</v>
      </c>
      <c r="J401" s="129">
        <v>0</v>
      </c>
      <c r="K401" s="129">
        <v>0</v>
      </c>
      <c r="L401" s="129">
        <v>0</v>
      </c>
      <c r="M401" s="129">
        <v>0</v>
      </c>
      <c r="N401" s="348">
        <v>0</v>
      </c>
      <c r="O401" s="348">
        <v>0</v>
      </c>
      <c r="P401" s="348">
        <v>0</v>
      </c>
      <c r="Q401" s="348">
        <v>0</v>
      </c>
      <c r="R401" s="348">
        <v>0</v>
      </c>
      <c r="S401" s="348">
        <v>0</v>
      </c>
      <c r="T401" s="44">
        <v>0</v>
      </c>
      <c r="U401" s="348">
        <v>0</v>
      </c>
      <c r="V401" s="257" t="s">
        <v>997</v>
      </c>
      <c r="W401" s="351">
        <v>1169</v>
      </c>
      <c r="X401" s="348">
        <f t="shared" si="191"/>
        <v>3722060.93</v>
      </c>
      <c r="Y401" s="351">
        <v>0</v>
      </c>
      <c r="Z401" s="351">
        <v>0</v>
      </c>
      <c r="AA401" s="351">
        <v>0</v>
      </c>
      <c r="AB401" s="351">
        <v>0</v>
      </c>
      <c r="AC401" s="351">
        <v>0</v>
      </c>
      <c r="AD401" s="351">
        <v>0</v>
      </c>
      <c r="AE401" s="351">
        <v>0</v>
      </c>
      <c r="AF401" s="351">
        <v>0</v>
      </c>
      <c r="AG401" s="351">
        <v>0</v>
      </c>
      <c r="AH401" s="351">
        <v>0</v>
      </c>
      <c r="AI401" s="351">
        <v>0</v>
      </c>
      <c r="AJ401" s="351">
        <f t="shared" si="192"/>
        <v>116923.38</v>
      </c>
      <c r="AK401" s="351">
        <f t="shared" si="193"/>
        <v>58461.69</v>
      </c>
      <c r="AL401" s="351">
        <v>0</v>
      </c>
      <c r="AM401" s="352"/>
      <c r="AN401" s="352"/>
    </row>
    <row r="402" spans="1:40" s="19" customFormat="1" ht="9" hidden="1" customHeight="1">
      <c r="A402" s="349">
        <v>42</v>
      </c>
      <c r="B402" s="118" t="s">
        <v>660</v>
      </c>
      <c r="C402" s="343">
        <v>5705.4</v>
      </c>
      <c r="D402" s="343"/>
      <c r="E402" s="257"/>
      <c r="F402" s="257"/>
      <c r="G402" s="123">
        <v>8335000</v>
      </c>
      <c r="H402" s="348">
        <f t="shared" si="190"/>
        <v>0</v>
      </c>
      <c r="I402" s="129">
        <v>0</v>
      </c>
      <c r="J402" s="129">
        <v>0</v>
      </c>
      <c r="K402" s="129">
        <v>0</v>
      </c>
      <c r="L402" s="129">
        <v>0</v>
      </c>
      <c r="M402" s="129">
        <v>0</v>
      </c>
      <c r="N402" s="348">
        <v>0</v>
      </c>
      <c r="O402" s="348">
        <v>0</v>
      </c>
      <c r="P402" s="348">
        <v>0</v>
      </c>
      <c r="Q402" s="348">
        <v>0</v>
      </c>
      <c r="R402" s="348">
        <v>0</v>
      </c>
      <c r="S402" s="348">
        <v>0</v>
      </c>
      <c r="T402" s="44">
        <v>0</v>
      </c>
      <c r="U402" s="348">
        <v>0</v>
      </c>
      <c r="V402" s="257" t="s">
        <v>997</v>
      </c>
      <c r="W402" s="351">
        <v>2500</v>
      </c>
      <c r="X402" s="348">
        <f t="shared" si="191"/>
        <v>7959925</v>
      </c>
      <c r="Y402" s="351">
        <v>0</v>
      </c>
      <c r="Z402" s="351">
        <v>0</v>
      </c>
      <c r="AA402" s="351">
        <v>0</v>
      </c>
      <c r="AB402" s="351">
        <v>0</v>
      </c>
      <c r="AC402" s="351">
        <v>0</v>
      </c>
      <c r="AD402" s="351">
        <v>0</v>
      </c>
      <c r="AE402" s="351">
        <v>0</v>
      </c>
      <c r="AF402" s="351">
        <v>0</v>
      </c>
      <c r="AG402" s="351">
        <v>0</v>
      </c>
      <c r="AH402" s="351">
        <v>0</v>
      </c>
      <c r="AI402" s="351">
        <v>0</v>
      </c>
      <c r="AJ402" s="351">
        <f t="shared" si="192"/>
        <v>250050</v>
      </c>
      <c r="AK402" s="351">
        <f t="shared" si="193"/>
        <v>125025</v>
      </c>
      <c r="AL402" s="351">
        <v>0</v>
      </c>
      <c r="AM402" s="352"/>
      <c r="AN402" s="352"/>
    </row>
    <row r="403" spans="1:40" s="19" customFormat="1" ht="9" hidden="1" customHeight="1">
      <c r="A403" s="349">
        <v>43</v>
      </c>
      <c r="B403" s="118" t="s">
        <v>661</v>
      </c>
      <c r="C403" s="343">
        <v>3841.74</v>
      </c>
      <c r="D403" s="343"/>
      <c r="E403" s="257"/>
      <c r="F403" s="257"/>
      <c r="G403" s="123">
        <v>6024942</v>
      </c>
      <c r="H403" s="348">
        <f t="shared" si="190"/>
        <v>0</v>
      </c>
      <c r="I403" s="129">
        <v>0</v>
      </c>
      <c r="J403" s="129">
        <v>0</v>
      </c>
      <c r="K403" s="129">
        <v>0</v>
      </c>
      <c r="L403" s="129">
        <v>0</v>
      </c>
      <c r="M403" s="129">
        <v>0</v>
      </c>
      <c r="N403" s="348">
        <v>0</v>
      </c>
      <c r="O403" s="348">
        <v>0</v>
      </c>
      <c r="P403" s="348">
        <v>0</v>
      </c>
      <c r="Q403" s="348">
        <v>0</v>
      </c>
      <c r="R403" s="348">
        <v>0</v>
      </c>
      <c r="S403" s="348">
        <v>0</v>
      </c>
      <c r="T403" s="44">
        <v>0</v>
      </c>
      <c r="U403" s="348">
        <v>0</v>
      </c>
      <c r="V403" s="257" t="s">
        <v>998</v>
      </c>
      <c r="W403" s="351">
        <v>1863</v>
      </c>
      <c r="X403" s="348">
        <f t="shared" si="191"/>
        <v>5753819.6100000003</v>
      </c>
      <c r="Y403" s="351">
        <v>0</v>
      </c>
      <c r="Z403" s="351">
        <v>0</v>
      </c>
      <c r="AA403" s="351">
        <v>0</v>
      </c>
      <c r="AB403" s="351">
        <v>0</v>
      </c>
      <c r="AC403" s="351">
        <v>0</v>
      </c>
      <c r="AD403" s="351">
        <v>0</v>
      </c>
      <c r="AE403" s="351">
        <v>0</v>
      </c>
      <c r="AF403" s="351">
        <v>0</v>
      </c>
      <c r="AG403" s="351">
        <v>0</v>
      </c>
      <c r="AH403" s="351">
        <v>0</v>
      </c>
      <c r="AI403" s="351">
        <v>0</v>
      </c>
      <c r="AJ403" s="351">
        <f t="shared" si="192"/>
        <v>180748.26</v>
      </c>
      <c r="AK403" s="351">
        <f t="shared" si="193"/>
        <v>90374.13</v>
      </c>
      <c r="AL403" s="351">
        <v>0</v>
      </c>
      <c r="AM403" s="352"/>
      <c r="AN403" s="352"/>
    </row>
    <row r="404" spans="1:40" s="19" customFormat="1" ht="9" hidden="1" customHeight="1">
      <c r="A404" s="349">
        <v>44</v>
      </c>
      <c r="B404" s="118" t="s">
        <v>662</v>
      </c>
      <c r="C404" s="343">
        <v>3925.3</v>
      </c>
      <c r="D404" s="343"/>
      <c r="E404" s="257"/>
      <c r="F404" s="257"/>
      <c r="G404" s="123">
        <v>3317330</v>
      </c>
      <c r="H404" s="348">
        <f t="shared" si="190"/>
        <v>0</v>
      </c>
      <c r="I404" s="129">
        <v>0</v>
      </c>
      <c r="J404" s="129">
        <v>0</v>
      </c>
      <c r="K404" s="129">
        <v>0</v>
      </c>
      <c r="L404" s="129">
        <v>0</v>
      </c>
      <c r="M404" s="129">
        <v>0</v>
      </c>
      <c r="N404" s="348">
        <v>0</v>
      </c>
      <c r="O404" s="348">
        <v>0</v>
      </c>
      <c r="P404" s="348">
        <v>0</v>
      </c>
      <c r="Q404" s="348">
        <v>0</v>
      </c>
      <c r="R404" s="348">
        <v>0</v>
      </c>
      <c r="S404" s="348">
        <v>0</v>
      </c>
      <c r="T404" s="44">
        <v>0</v>
      </c>
      <c r="U404" s="348">
        <v>0</v>
      </c>
      <c r="V404" s="257" t="s">
        <v>997</v>
      </c>
      <c r="W404" s="351">
        <v>995</v>
      </c>
      <c r="X404" s="348">
        <f t="shared" si="191"/>
        <v>3168050.15</v>
      </c>
      <c r="Y404" s="351">
        <v>0</v>
      </c>
      <c r="Z404" s="351">
        <v>0</v>
      </c>
      <c r="AA404" s="351">
        <v>0</v>
      </c>
      <c r="AB404" s="351">
        <v>0</v>
      </c>
      <c r="AC404" s="351">
        <v>0</v>
      </c>
      <c r="AD404" s="351">
        <v>0</v>
      </c>
      <c r="AE404" s="351">
        <v>0</v>
      </c>
      <c r="AF404" s="351">
        <v>0</v>
      </c>
      <c r="AG404" s="351">
        <v>0</v>
      </c>
      <c r="AH404" s="351">
        <v>0</v>
      </c>
      <c r="AI404" s="351">
        <v>0</v>
      </c>
      <c r="AJ404" s="351">
        <f t="shared" si="192"/>
        <v>99519.9</v>
      </c>
      <c r="AK404" s="351">
        <f t="shared" si="193"/>
        <v>49759.95</v>
      </c>
      <c r="AL404" s="351">
        <v>0</v>
      </c>
      <c r="AM404" s="352"/>
      <c r="AN404" s="352"/>
    </row>
    <row r="405" spans="1:40" s="19" customFormat="1" ht="9" hidden="1" customHeight="1">
      <c r="A405" s="349">
        <v>45</v>
      </c>
      <c r="B405" s="118" t="s">
        <v>663</v>
      </c>
      <c r="C405" s="343">
        <v>2034.9</v>
      </c>
      <c r="D405" s="343"/>
      <c r="E405" s="257"/>
      <c r="F405" s="257"/>
      <c r="G405" s="123">
        <v>2781240</v>
      </c>
      <c r="H405" s="348">
        <f t="shared" si="190"/>
        <v>0</v>
      </c>
      <c r="I405" s="129">
        <v>0</v>
      </c>
      <c r="J405" s="129">
        <v>0</v>
      </c>
      <c r="K405" s="129">
        <v>0</v>
      </c>
      <c r="L405" s="129">
        <v>0</v>
      </c>
      <c r="M405" s="129">
        <v>0</v>
      </c>
      <c r="N405" s="348">
        <v>0</v>
      </c>
      <c r="O405" s="348">
        <v>0</v>
      </c>
      <c r="P405" s="348">
        <v>0</v>
      </c>
      <c r="Q405" s="348">
        <v>0</v>
      </c>
      <c r="R405" s="348">
        <v>0</v>
      </c>
      <c r="S405" s="348">
        <v>0</v>
      </c>
      <c r="T405" s="44">
        <v>0</v>
      </c>
      <c r="U405" s="348">
        <v>0</v>
      </c>
      <c r="V405" s="257" t="s">
        <v>998</v>
      </c>
      <c r="W405" s="351">
        <v>860</v>
      </c>
      <c r="X405" s="348">
        <f t="shared" si="191"/>
        <v>2656084.2000000002</v>
      </c>
      <c r="Y405" s="351">
        <v>0</v>
      </c>
      <c r="Z405" s="351">
        <v>0</v>
      </c>
      <c r="AA405" s="351">
        <v>0</v>
      </c>
      <c r="AB405" s="351">
        <v>0</v>
      </c>
      <c r="AC405" s="351">
        <v>0</v>
      </c>
      <c r="AD405" s="351">
        <v>0</v>
      </c>
      <c r="AE405" s="351">
        <v>0</v>
      </c>
      <c r="AF405" s="351">
        <v>0</v>
      </c>
      <c r="AG405" s="351">
        <v>0</v>
      </c>
      <c r="AH405" s="351">
        <v>0</v>
      </c>
      <c r="AI405" s="351">
        <v>0</v>
      </c>
      <c r="AJ405" s="351">
        <f t="shared" si="192"/>
        <v>83437.2</v>
      </c>
      <c r="AK405" s="351">
        <f t="shared" si="193"/>
        <v>41718.6</v>
      </c>
      <c r="AL405" s="351">
        <v>0</v>
      </c>
      <c r="AM405" s="352"/>
      <c r="AN405" s="352"/>
    </row>
    <row r="406" spans="1:40" s="19" customFormat="1" ht="9" hidden="1" customHeight="1">
      <c r="A406" s="349">
        <v>46</v>
      </c>
      <c r="B406" s="118" t="s">
        <v>664</v>
      </c>
      <c r="C406" s="343">
        <v>3477.8</v>
      </c>
      <c r="D406" s="343"/>
      <c r="E406" s="257"/>
      <c r="F406" s="257"/>
      <c r="G406" s="123">
        <v>3783780</v>
      </c>
      <c r="H406" s="348">
        <f t="shared" si="190"/>
        <v>0</v>
      </c>
      <c r="I406" s="129">
        <v>0</v>
      </c>
      <c r="J406" s="129">
        <v>0</v>
      </c>
      <c r="K406" s="129">
        <v>0</v>
      </c>
      <c r="L406" s="129">
        <v>0</v>
      </c>
      <c r="M406" s="129">
        <v>0</v>
      </c>
      <c r="N406" s="348">
        <v>0</v>
      </c>
      <c r="O406" s="348">
        <v>0</v>
      </c>
      <c r="P406" s="348">
        <v>0</v>
      </c>
      <c r="Q406" s="348">
        <v>0</v>
      </c>
      <c r="R406" s="348">
        <v>0</v>
      </c>
      <c r="S406" s="348">
        <v>0</v>
      </c>
      <c r="T406" s="44">
        <v>0</v>
      </c>
      <c r="U406" s="348">
        <v>0</v>
      </c>
      <c r="V406" s="257" t="s">
        <v>998</v>
      </c>
      <c r="W406" s="351">
        <v>1170</v>
      </c>
      <c r="X406" s="348">
        <f t="shared" si="191"/>
        <v>3613509.9</v>
      </c>
      <c r="Y406" s="351">
        <v>0</v>
      </c>
      <c r="Z406" s="351">
        <v>0</v>
      </c>
      <c r="AA406" s="351">
        <v>0</v>
      </c>
      <c r="AB406" s="351">
        <v>0</v>
      </c>
      <c r="AC406" s="351">
        <v>0</v>
      </c>
      <c r="AD406" s="351">
        <v>0</v>
      </c>
      <c r="AE406" s="351">
        <v>0</v>
      </c>
      <c r="AF406" s="351">
        <v>0</v>
      </c>
      <c r="AG406" s="351">
        <v>0</v>
      </c>
      <c r="AH406" s="351">
        <v>0</v>
      </c>
      <c r="AI406" s="351">
        <v>0</v>
      </c>
      <c r="AJ406" s="351">
        <f t="shared" si="192"/>
        <v>113513.4</v>
      </c>
      <c r="AK406" s="351">
        <f t="shared" si="193"/>
        <v>56756.7</v>
      </c>
      <c r="AL406" s="351">
        <v>0</v>
      </c>
      <c r="AM406" s="352"/>
      <c r="AN406" s="352"/>
    </row>
    <row r="407" spans="1:40" s="19" customFormat="1" ht="9" hidden="1" customHeight="1">
      <c r="A407" s="349">
        <v>47</v>
      </c>
      <c r="B407" s="118" t="s">
        <v>665</v>
      </c>
      <c r="C407" s="343">
        <v>2399.8000000000002</v>
      </c>
      <c r="D407" s="343"/>
      <c r="E407" s="257"/>
      <c r="F407" s="257"/>
      <c r="G407" s="123">
        <v>2868558</v>
      </c>
      <c r="H407" s="348">
        <f t="shared" si="190"/>
        <v>0</v>
      </c>
      <c r="I407" s="129">
        <v>0</v>
      </c>
      <c r="J407" s="129">
        <v>0</v>
      </c>
      <c r="K407" s="129">
        <v>0</v>
      </c>
      <c r="L407" s="129">
        <v>0</v>
      </c>
      <c r="M407" s="129">
        <v>0</v>
      </c>
      <c r="N407" s="348">
        <v>0</v>
      </c>
      <c r="O407" s="348">
        <v>0</v>
      </c>
      <c r="P407" s="348">
        <v>0</v>
      </c>
      <c r="Q407" s="348">
        <v>0</v>
      </c>
      <c r="R407" s="348">
        <v>0</v>
      </c>
      <c r="S407" s="348">
        <v>0</v>
      </c>
      <c r="T407" s="44">
        <v>0</v>
      </c>
      <c r="U407" s="348">
        <v>0</v>
      </c>
      <c r="V407" s="257" t="s">
        <v>998</v>
      </c>
      <c r="W407" s="351">
        <v>887</v>
      </c>
      <c r="X407" s="348">
        <f t="shared" si="191"/>
        <v>2739472.89</v>
      </c>
      <c r="Y407" s="351">
        <v>0</v>
      </c>
      <c r="Z407" s="351">
        <v>0</v>
      </c>
      <c r="AA407" s="351">
        <v>0</v>
      </c>
      <c r="AB407" s="351">
        <v>0</v>
      </c>
      <c r="AC407" s="351">
        <v>0</v>
      </c>
      <c r="AD407" s="351">
        <v>0</v>
      </c>
      <c r="AE407" s="351">
        <v>0</v>
      </c>
      <c r="AF407" s="351">
        <v>0</v>
      </c>
      <c r="AG407" s="351">
        <v>0</v>
      </c>
      <c r="AH407" s="351">
        <v>0</v>
      </c>
      <c r="AI407" s="351">
        <v>0</v>
      </c>
      <c r="AJ407" s="351">
        <f t="shared" si="192"/>
        <v>86056.74</v>
      </c>
      <c r="AK407" s="351">
        <f t="shared" si="193"/>
        <v>43028.37</v>
      </c>
      <c r="AL407" s="351">
        <v>0</v>
      </c>
      <c r="AM407" s="352"/>
      <c r="AN407" s="352"/>
    </row>
    <row r="408" spans="1:40" s="19" customFormat="1" ht="9" hidden="1" customHeight="1">
      <c r="A408" s="349">
        <v>48</v>
      </c>
      <c r="B408" s="118" t="s">
        <v>666</v>
      </c>
      <c r="C408" s="343">
        <v>1601</v>
      </c>
      <c r="D408" s="343"/>
      <c r="E408" s="257"/>
      <c r="F408" s="257"/>
      <c r="G408" s="123">
        <v>1878954</v>
      </c>
      <c r="H408" s="348">
        <f t="shared" si="190"/>
        <v>0</v>
      </c>
      <c r="I408" s="129">
        <v>0</v>
      </c>
      <c r="J408" s="129">
        <v>0</v>
      </c>
      <c r="K408" s="129">
        <v>0</v>
      </c>
      <c r="L408" s="129">
        <v>0</v>
      </c>
      <c r="M408" s="129">
        <v>0</v>
      </c>
      <c r="N408" s="348">
        <v>0</v>
      </c>
      <c r="O408" s="348">
        <v>0</v>
      </c>
      <c r="P408" s="348">
        <v>0</v>
      </c>
      <c r="Q408" s="348">
        <v>0</v>
      </c>
      <c r="R408" s="348">
        <v>0</v>
      </c>
      <c r="S408" s="348">
        <v>0</v>
      </c>
      <c r="T408" s="44">
        <v>0</v>
      </c>
      <c r="U408" s="348">
        <v>0</v>
      </c>
      <c r="V408" s="257" t="s">
        <v>998</v>
      </c>
      <c r="W408" s="351">
        <v>581</v>
      </c>
      <c r="X408" s="348">
        <f t="shared" si="191"/>
        <v>1794401.07</v>
      </c>
      <c r="Y408" s="351">
        <v>0</v>
      </c>
      <c r="Z408" s="351">
        <v>0</v>
      </c>
      <c r="AA408" s="351">
        <v>0</v>
      </c>
      <c r="AB408" s="351">
        <v>0</v>
      </c>
      <c r="AC408" s="351">
        <v>0</v>
      </c>
      <c r="AD408" s="351">
        <v>0</v>
      </c>
      <c r="AE408" s="351">
        <v>0</v>
      </c>
      <c r="AF408" s="351">
        <v>0</v>
      </c>
      <c r="AG408" s="351">
        <v>0</v>
      </c>
      <c r="AH408" s="351">
        <v>0</v>
      </c>
      <c r="AI408" s="351">
        <v>0</v>
      </c>
      <c r="AJ408" s="351">
        <f t="shared" si="192"/>
        <v>56368.62</v>
      </c>
      <c r="AK408" s="351">
        <f t="shared" si="193"/>
        <v>28184.31</v>
      </c>
      <c r="AL408" s="351">
        <v>0</v>
      </c>
      <c r="AM408" s="352"/>
      <c r="AN408" s="352"/>
    </row>
    <row r="409" spans="1:40" s="19" customFormat="1" ht="9" hidden="1" customHeight="1">
      <c r="A409" s="349">
        <v>49</v>
      </c>
      <c r="B409" s="118" t="s">
        <v>667</v>
      </c>
      <c r="C409" s="343">
        <v>1855.1</v>
      </c>
      <c r="D409" s="343"/>
      <c r="E409" s="257"/>
      <c r="F409" s="257"/>
      <c r="G409" s="123">
        <v>1380276</v>
      </c>
      <c r="H409" s="348">
        <f t="shared" si="190"/>
        <v>0</v>
      </c>
      <c r="I409" s="129">
        <v>0</v>
      </c>
      <c r="J409" s="129">
        <v>0</v>
      </c>
      <c r="K409" s="129">
        <v>0</v>
      </c>
      <c r="L409" s="129">
        <v>0</v>
      </c>
      <c r="M409" s="129">
        <v>0</v>
      </c>
      <c r="N409" s="348">
        <v>0</v>
      </c>
      <c r="O409" s="348">
        <v>0</v>
      </c>
      <c r="P409" s="348">
        <v>0</v>
      </c>
      <c r="Q409" s="348">
        <v>0</v>
      </c>
      <c r="R409" s="348">
        <v>0</v>
      </c>
      <c r="S409" s="348">
        <v>0</v>
      </c>
      <c r="T409" s="44">
        <v>0</v>
      </c>
      <c r="U409" s="348">
        <v>0</v>
      </c>
      <c r="V409" s="257" t="s">
        <v>997</v>
      </c>
      <c r="W409" s="351">
        <v>414</v>
      </c>
      <c r="X409" s="348">
        <f t="shared" si="191"/>
        <v>1318163.58</v>
      </c>
      <c r="Y409" s="351">
        <v>0</v>
      </c>
      <c r="Z409" s="351">
        <v>0</v>
      </c>
      <c r="AA409" s="351">
        <v>0</v>
      </c>
      <c r="AB409" s="351">
        <v>0</v>
      </c>
      <c r="AC409" s="351">
        <v>0</v>
      </c>
      <c r="AD409" s="351">
        <v>0</v>
      </c>
      <c r="AE409" s="351">
        <v>0</v>
      </c>
      <c r="AF409" s="351">
        <v>0</v>
      </c>
      <c r="AG409" s="351">
        <v>0</v>
      </c>
      <c r="AH409" s="351">
        <v>0</v>
      </c>
      <c r="AI409" s="351">
        <v>0</v>
      </c>
      <c r="AJ409" s="351">
        <f t="shared" si="192"/>
        <v>41408.28</v>
      </c>
      <c r="AK409" s="351">
        <f t="shared" si="193"/>
        <v>20704.14</v>
      </c>
      <c r="AL409" s="351">
        <v>0</v>
      </c>
      <c r="AM409" s="352"/>
      <c r="AN409" s="352"/>
    </row>
    <row r="410" spans="1:40" s="19" customFormat="1" ht="9" hidden="1" customHeight="1">
      <c r="A410" s="349">
        <v>50</v>
      </c>
      <c r="B410" s="118" t="s">
        <v>668</v>
      </c>
      <c r="C410" s="343">
        <v>2568.1</v>
      </c>
      <c r="D410" s="343"/>
      <c r="E410" s="257"/>
      <c r="F410" s="257"/>
      <c r="G410" s="123">
        <v>2926770</v>
      </c>
      <c r="H410" s="348">
        <f t="shared" si="190"/>
        <v>0</v>
      </c>
      <c r="I410" s="129">
        <v>0</v>
      </c>
      <c r="J410" s="129">
        <v>0</v>
      </c>
      <c r="K410" s="129">
        <v>0</v>
      </c>
      <c r="L410" s="129">
        <v>0</v>
      </c>
      <c r="M410" s="129">
        <v>0</v>
      </c>
      <c r="N410" s="348">
        <v>0</v>
      </c>
      <c r="O410" s="348">
        <v>0</v>
      </c>
      <c r="P410" s="348">
        <v>0</v>
      </c>
      <c r="Q410" s="348">
        <v>0</v>
      </c>
      <c r="R410" s="348">
        <v>0</v>
      </c>
      <c r="S410" s="348">
        <v>0</v>
      </c>
      <c r="T410" s="44">
        <v>0</v>
      </c>
      <c r="U410" s="348">
        <v>0</v>
      </c>
      <c r="V410" s="257" t="s">
        <v>998</v>
      </c>
      <c r="W410" s="351">
        <v>905</v>
      </c>
      <c r="X410" s="348">
        <f t="shared" si="191"/>
        <v>2795065.35</v>
      </c>
      <c r="Y410" s="351">
        <v>0</v>
      </c>
      <c r="Z410" s="351">
        <v>0</v>
      </c>
      <c r="AA410" s="351">
        <v>0</v>
      </c>
      <c r="AB410" s="351">
        <v>0</v>
      </c>
      <c r="AC410" s="351">
        <v>0</v>
      </c>
      <c r="AD410" s="351">
        <v>0</v>
      </c>
      <c r="AE410" s="351">
        <v>0</v>
      </c>
      <c r="AF410" s="351">
        <v>0</v>
      </c>
      <c r="AG410" s="351">
        <v>0</v>
      </c>
      <c r="AH410" s="351">
        <v>0</v>
      </c>
      <c r="AI410" s="351">
        <v>0</v>
      </c>
      <c r="AJ410" s="351">
        <f t="shared" si="192"/>
        <v>87803.1</v>
      </c>
      <c r="AK410" s="351">
        <f t="shared" si="193"/>
        <v>43901.55</v>
      </c>
      <c r="AL410" s="351">
        <v>0</v>
      </c>
      <c r="AM410" s="352"/>
      <c r="AN410" s="352"/>
    </row>
    <row r="411" spans="1:40" s="19" customFormat="1" ht="9" hidden="1" customHeight="1">
      <c r="A411" s="349">
        <v>51</v>
      </c>
      <c r="B411" s="118" t="s">
        <v>669</v>
      </c>
      <c r="C411" s="343">
        <v>3770.3</v>
      </c>
      <c r="D411" s="343"/>
      <c r="E411" s="257"/>
      <c r="F411" s="257"/>
      <c r="G411" s="123">
        <v>1420284</v>
      </c>
      <c r="H411" s="348">
        <f t="shared" si="190"/>
        <v>0</v>
      </c>
      <c r="I411" s="129">
        <v>0</v>
      </c>
      <c r="J411" s="129">
        <v>0</v>
      </c>
      <c r="K411" s="129">
        <v>0</v>
      </c>
      <c r="L411" s="129">
        <v>0</v>
      </c>
      <c r="M411" s="129">
        <v>0</v>
      </c>
      <c r="N411" s="348">
        <v>0</v>
      </c>
      <c r="O411" s="348">
        <v>0</v>
      </c>
      <c r="P411" s="348">
        <v>0</v>
      </c>
      <c r="Q411" s="348">
        <v>0</v>
      </c>
      <c r="R411" s="348">
        <v>0</v>
      </c>
      <c r="S411" s="348">
        <v>0</v>
      </c>
      <c r="T411" s="44">
        <v>0</v>
      </c>
      <c r="U411" s="348">
        <v>0</v>
      </c>
      <c r="V411" s="257" t="s">
        <v>997</v>
      </c>
      <c r="W411" s="351">
        <v>426</v>
      </c>
      <c r="X411" s="348">
        <f t="shared" si="191"/>
        <v>1356371.22</v>
      </c>
      <c r="Y411" s="351">
        <v>0</v>
      </c>
      <c r="Z411" s="351">
        <v>0</v>
      </c>
      <c r="AA411" s="351">
        <v>0</v>
      </c>
      <c r="AB411" s="351">
        <v>0</v>
      </c>
      <c r="AC411" s="351">
        <v>0</v>
      </c>
      <c r="AD411" s="351">
        <v>0</v>
      </c>
      <c r="AE411" s="351">
        <v>0</v>
      </c>
      <c r="AF411" s="351">
        <v>0</v>
      </c>
      <c r="AG411" s="351">
        <v>0</v>
      </c>
      <c r="AH411" s="351">
        <v>0</v>
      </c>
      <c r="AI411" s="351">
        <v>0</v>
      </c>
      <c r="AJ411" s="351">
        <f t="shared" si="192"/>
        <v>42608.52</v>
      </c>
      <c r="AK411" s="351">
        <f t="shared" si="193"/>
        <v>21304.26</v>
      </c>
      <c r="AL411" s="351">
        <v>0</v>
      </c>
      <c r="AM411" s="352"/>
      <c r="AN411" s="352"/>
    </row>
    <row r="412" spans="1:40" s="19" customFormat="1" ht="9" hidden="1" customHeight="1">
      <c r="A412" s="349">
        <v>52</v>
      </c>
      <c r="B412" s="118" t="s">
        <v>670</v>
      </c>
      <c r="C412" s="343">
        <v>2512.3000000000002</v>
      </c>
      <c r="D412" s="343"/>
      <c r="E412" s="257"/>
      <c r="F412" s="257"/>
      <c r="G412" s="123">
        <v>3020556</v>
      </c>
      <c r="H412" s="348">
        <f t="shared" si="190"/>
        <v>0</v>
      </c>
      <c r="I412" s="129">
        <v>0</v>
      </c>
      <c r="J412" s="129">
        <v>0</v>
      </c>
      <c r="K412" s="129">
        <v>0</v>
      </c>
      <c r="L412" s="129">
        <v>0</v>
      </c>
      <c r="M412" s="129">
        <v>0</v>
      </c>
      <c r="N412" s="348">
        <v>0</v>
      </c>
      <c r="O412" s="348">
        <v>0</v>
      </c>
      <c r="P412" s="348">
        <v>0</v>
      </c>
      <c r="Q412" s="348">
        <v>0</v>
      </c>
      <c r="R412" s="348">
        <v>0</v>
      </c>
      <c r="S412" s="348">
        <v>0</v>
      </c>
      <c r="T412" s="44">
        <v>0</v>
      </c>
      <c r="U412" s="348">
        <v>0</v>
      </c>
      <c r="V412" s="257" t="s">
        <v>998</v>
      </c>
      <c r="W412" s="351">
        <v>934</v>
      </c>
      <c r="X412" s="348">
        <f t="shared" si="191"/>
        <v>2884630.98</v>
      </c>
      <c r="Y412" s="351">
        <v>0</v>
      </c>
      <c r="Z412" s="351">
        <v>0</v>
      </c>
      <c r="AA412" s="351">
        <v>0</v>
      </c>
      <c r="AB412" s="351">
        <v>0</v>
      </c>
      <c r="AC412" s="351">
        <v>0</v>
      </c>
      <c r="AD412" s="351">
        <v>0</v>
      </c>
      <c r="AE412" s="351">
        <v>0</v>
      </c>
      <c r="AF412" s="351">
        <v>0</v>
      </c>
      <c r="AG412" s="351">
        <v>0</v>
      </c>
      <c r="AH412" s="351">
        <v>0</v>
      </c>
      <c r="AI412" s="351">
        <v>0</v>
      </c>
      <c r="AJ412" s="351">
        <f t="shared" si="192"/>
        <v>90616.68</v>
      </c>
      <c r="AK412" s="351">
        <f t="shared" si="193"/>
        <v>45308.34</v>
      </c>
      <c r="AL412" s="351">
        <v>0</v>
      </c>
      <c r="AM412" s="352"/>
      <c r="AN412" s="352"/>
    </row>
    <row r="413" spans="1:40" s="19" customFormat="1" ht="9" hidden="1" customHeight="1">
      <c r="A413" s="349">
        <v>53</v>
      </c>
      <c r="B413" s="118" t="s">
        <v>671</v>
      </c>
      <c r="C413" s="343">
        <v>2126.6</v>
      </c>
      <c r="D413" s="343"/>
      <c r="E413" s="257"/>
      <c r="F413" s="257"/>
      <c r="G413" s="123">
        <v>2891196</v>
      </c>
      <c r="H413" s="348">
        <f t="shared" si="190"/>
        <v>0</v>
      </c>
      <c r="I413" s="129">
        <v>0</v>
      </c>
      <c r="J413" s="129">
        <v>0</v>
      </c>
      <c r="K413" s="129">
        <v>0</v>
      </c>
      <c r="L413" s="129">
        <v>0</v>
      </c>
      <c r="M413" s="129">
        <v>0</v>
      </c>
      <c r="N413" s="348">
        <v>0</v>
      </c>
      <c r="O413" s="348">
        <v>0</v>
      </c>
      <c r="P413" s="348">
        <v>0</v>
      </c>
      <c r="Q413" s="348">
        <v>0</v>
      </c>
      <c r="R413" s="348">
        <v>0</v>
      </c>
      <c r="S413" s="348">
        <v>0</v>
      </c>
      <c r="T413" s="44">
        <v>0</v>
      </c>
      <c r="U413" s="348">
        <v>0</v>
      </c>
      <c r="V413" s="257" t="s">
        <v>998</v>
      </c>
      <c r="W413" s="351">
        <v>894</v>
      </c>
      <c r="X413" s="348">
        <f t="shared" si="191"/>
        <v>2761092.18</v>
      </c>
      <c r="Y413" s="351">
        <v>0</v>
      </c>
      <c r="Z413" s="351">
        <v>0</v>
      </c>
      <c r="AA413" s="351">
        <v>0</v>
      </c>
      <c r="AB413" s="351">
        <v>0</v>
      </c>
      <c r="AC413" s="351">
        <v>0</v>
      </c>
      <c r="AD413" s="351">
        <v>0</v>
      </c>
      <c r="AE413" s="351">
        <v>0</v>
      </c>
      <c r="AF413" s="351">
        <v>0</v>
      </c>
      <c r="AG413" s="351">
        <v>0</v>
      </c>
      <c r="AH413" s="351">
        <v>0</v>
      </c>
      <c r="AI413" s="351">
        <v>0</v>
      </c>
      <c r="AJ413" s="351">
        <f t="shared" si="192"/>
        <v>86735.88</v>
      </c>
      <c r="AK413" s="351">
        <f t="shared" si="193"/>
        <v>43367.94</v>
      </c>
      <c r="AL413" s="351">
        <v>0</v>
      </c>
      <c r="AM413" s="352"/>
      <c r="AN413" s="352"/>
    </row>
    <row r="414" spans="1:40" s="19" customFormat="1" ht="9" hidden="1" customHeight="1">
      <c r="A414" s="349">
        <v>54</v>
      </c>
      <c r="B414" s="118" t="s">
        <v>672</v>
      </c>
      <c r="C414" s="343">
        <v>2489.1</v>
      </c>
      <c r="D414" s="343"/>
      <c r="E414" s="257"/>
      <c r="F414" s="257"/>
      <c r="G414" s="123">
        <v>2868558</v>
      </c>
      <c r="H414" s="348">
        <f t="shared" si="190"/>
        <v>0</v>
      </c>
      <c r="I414" s="129">
        <v>0</v>
      </c>
      <c r="J414" s="129">
        <v>0</v>
      </c>
      <c r="K414" s="129">
        <v>0</v>
      </c>
      <c r="L414" s="129">
        <v>0</v>
      </c>
      <c r="M414" s="129">
        <v>0</v>
      </c>
      <c r="N414" s="348">
        <v>0</v>
      </c>
      <c r="O414" s="348">
        <v>0</v>
      </c>
      <c r="P414" s="348">
        <v>0</v>
      </c>
      <c r="Q414" s="348">
        <v>0</v>
      </c>
      <c r="R414" s="348">
        <v>0</v>
      </c>
      <c r="S414" s="348">
        <v>0</v>
      </c>
      <c r="T414" s="44">
        <v>0</v>
      </c>
      <c r="U414" s="348">
        <v>0</v>
      </c>
      <c r="V414" s="257" t="s">
        <v>998</v>
      </c>
      <c r="W414" s="351">
        <v>887</v>
      </c>
      <c r="X414" s="348">
        <f t="shared" si="191"/>
        <v>2739472.89</v>
      </c>
      <c r="Y414" s="351">
        <v>0</v>
      </c>
      <c r="Z414" s="351">
        <v>0</v>
      </c>
      <c r="AA414" s="351">
        <v>0</v>
      </c>
      <c r="AB414" s="351">
        <v>0</v>
      </c>
      <c r="AC414" s="351">
        <v>0</v>
      </c>
      <c r="AD414" s="351">
        <v>0</v>
      </c>
      <c r="AE414" s="351">
        <v>0</v>
      </c>
      <c r="AF414" s="351">
        <v>0</v>
      </c>
      <c r="AG414" s="351">
        <v>0</v>
      </c>
      <c r="AH414" s="351">
        <v>0</v>
      </c>
      <c r="AI414" s="351">
        <v>0</v>
      </c>
      <c r="AJ414" s="351">
        <f t="shared" si="192"/>
        <v>86056.74</v>
      </c>
      <c r="AK414" s="351">
        <f t="shared" si="193"/>
        <v>43028.37</v>
      </c>
      <c r="AL414" s="351">
        <v>0</v>
      </c>
      <c r="AM414" s="352"/>
      <c r="AN414" s="352"/>
    </row>
    <row r="415" spans="1:40" s="19" customFormat="1" ht="9" hidden="1" customHeight="1">
      <c r="A415" s="349">
        <v>55</v>
      </c>
      <c r="B415" s="118" t="s">
        <v>673</v>
      </c>
      <c r="C415" s="343">
        <v>1360.9</v>
      </c>
      <c r="D415" s="343"/>
      <c r="E415" s="257"/>
      <c r="F415" s="257"/>
      <c r="G415" s="123">
        <v>1862784</v>
      </c>
      <c r="H415" s="348">
        <f t="shared" si="190"/>
        <v>0</v>
      </c>
      <c r="I415" s="129">
        <v>0</v>
      </c>
      <c r="J415" s="129">
        <v>0</v>
      </c>
      <c r="K415" s="129">
        <v>0</v>
      </c>
      <c r="L415" s="129">
        <v>0</v>
      </c>
      <c r="M415" s="129">
        <v>0</v>
      </c>
      <c r="N415" s="348">
        <v>0</v>
      </c>
      <c r="O415" s="348">
        <v>0</v>
      </c>
      <c r="P415" s="348">
        <v>0</v>
      </c>
      <c r="Q415" s="348">
        <v>0</v>
      </c>
      <c r="R415" s="348">
        <v>0</v>
      </c>
      <c r="S415" s="348">
        <v>0</v>
      </c>
      <c r="T415" s="44">
        <v>0</v>
      </c>
      <c r="U415" s="348">
        <v>0</v>
      </c>
      <c r="V415" s="257" t="s">
        <v>998</v>
      </c>
      <c r="W415" s="351">
        <v>576</v>
      </c>
      <c r="X415" s="348">
        <f t="shared" si="191"/>
        <v>1778958.72</v>
      </c>
      <c r="Y415" s="351">
        <v>0</v>
      </c>
      <c r="Z415" s="351">
        <v>0</v>
      </c>
      <c r="AA415" s="351">
        <v>0</v>
      </c>
      <c r="AB415" s="351">
        <v>0</v>
      </c>
      <c r="AC415" s="351">
        <v>0</v>
      </c>
      <c r="AD415" s="351">
        <v>0</v>
      </c>
      <c r="AE415" s="351">
        <v>0</v>
      </c>
      <c r="AF415" s="351">
        <v>0</v>
      </c>
      <c r="AG415" s="351">
        <v>0</v>
      </c>
      <c r="AH415" s="351">
        <v>0</v>
      </c>
      <c r="AI415" s="351">
        <v>0</v>
      </c>
      <c r="AJ415" s="351">
        <f t="shared" si="192"/>
        <v>55883.519999999997</v>
      </c>
      <c r="AK415" s="351">
        <f t="shared" si="193"/>
        <v>27941.759999999998</v>
      </c>
      <c r="AL415" s="351">
        <v>0</v>
      </c>
      <c r="AM415" s="352"/>
      <c r="AN415" s="352"/>
    </row>
    <row r="416" spans="1:40" s="19" customFormat="1" ht="9" hidden="1" customHeight="1">
      <c r="A416" s="349">
        <v>56</v>
      </c>
      <c r="B416" s="118" t="s">
        <v>674</v>
      </c>
      <c r="C416" s="343">
        <v>2273.4</v>
      </c>
      <c r="D416" s="343"/>
      <c r="E416" s="257"/>
      <c r="F416" s="257"/>
      <c r="G416" s="123">
        <v>1233580</v>
      </c>
      <c r="H416" s="348">
        <f t="shared" si="190"/>
        <v>0</v>
      </c>
      <c r="I416" s="129">
        <v>0</v>
      </c>
      <c r="J416" s="129">
        <v>0</v>
      </c>
      <c r="K416" s="129">
        <v>0</v>
      </c>
      <c r="L416" s="129">
        <v>0</v>
      </c>
      <c r="M416" s="129">
        <v>0</v>
      </c>
      <c r="N416" s="348">
        <v>0</v>
      </c>
      <c r="O416" s="348">
        <v>0</v>
      </c>
      <c r="P416" s="348">
        <v>0</v>
      </c>
      <c r="Q416" s="348">
        <v>0</v>
      </c>
      <c r="R416" s="348">
        <v>0</v>
      </c>
      <c r="S416" s="348">
        <v>0</v>
      </c>
      <c r="T416" s="44">
        <v>0</v>
      </c>
      <c r="U416" s="348">
        <v>0</v>
      </c>
      <c r="V416" s="257" t="s">
        <v>997</v>
      </c>
      <c r="W416" s="351">
        <v>370</v>
      </c>
      <c r="X416" s="348">
        <f t="shared" si="191"/>
        <v>1178068.8999999999</v>
      </c>
      <c r="Y416" s="351">
        <v>0</v>
      </c>
      <c r="Z416" s="351">
        <v>0</v>
      </c>
      <c r="AA416" s="351">
        <v>0</v>
      </c>
      <c r="AB416" s="351">
        <v>0</v>
      </c>
      <c r="AC416" s="351">
        <v>0</v>
      </c>
      <c r="AD416" s="351">
        <v>0</v>
      </c>
      <c r="AE416" s="351">
        <v>0</v>
      </c>
      <c r="AF416" s="351">
        <v>0</v>
      </c>
      <c r="AG416" s="351">
        <v>0</v>
      </c>
      <c r="AH416" s="351">
        <v>0</v>
      </c>
      <c r="AI416" s="351">
        <v>0</v>
      </c>
      <c r="AJ416" s="351">
        <f t="shared" si="192"/>
        <v>37007.4</v>
      </c>
      <c r="AK416" s="351">
        <f t="shared" si="193"/>
        <v>18503.7</v>
      </c>
      <c r="AL416" s="351">
        <v>0</v>
      </c>
      <c r="AM416" s="352"/>
      <c r="AN416" s="352"/>
    </row>
    <row r="417" spans="1:40" s="19" customFormat="1" ht="9" hidden="1" customHeight="1">
      <c r="A417" s="349">
        <v>57</v>
      </c>
      <c r="B417" s="118" t="s">
        <v>675</v>
      </c>
      <c r="C417" s="343">
        <v>3184.65</v>
      </c>
      <c r="D417" s="343"/>
      <c r="E417" s="257"/>
      <c r="F417" s="257"/>
      <c r="G417" s="123">
        <v>3124044</v>
      </c>
      <c r="H417" s="348">
        <f t="shared" si="190"/>
        <v>0</v>
      </c>
      <c r="I417" s="129">
        <v>0</v>
      </c>
      <c r="J417" s="129">
        <v>0</v>
      </c>
      <c r="K417" s="129">
        <v>0</v>
      </c>
      <c r="L417" s="129">
        <v>0</v>
      </c>
      <c r="M417" s="129">
        <v>0</v>
      </c>
      <c r="N417" s="348">
        <v>0</v>
      </c>
      <c r="O417" s="348">
        <v>0</v>
      </c>
      <c r="P417" s="348">
        <v>0</v>
      </c>
      <c r="Q417" s="348">
        <v>0</v>
      </c>
      <c r="R417" s="348">
        <v>0</v>
      </c>
      <c r="S417" s="348">
        <v>0</v>
      </c>
      <c r="T417" s="44">
        <v>0</v>
      </c>
      <c r="U417" s="348">
        <v>0</v>
      </c>
      <c r="V417" s="257" t="s">
        <v>998</v>
      </c>
      <c r="W417" s="351">
        <v>966</v>
      </c>
      <c r="X417" s="348">
        <f t="shared" si="191"/>
        <v>2983462.02</v>
      </c>
      <c r="Y417" s="351">
        <v>0</v>
      </c>
      <c r="Z417" s="351">
        <v>0</v>
      </c>
      <c r="AA417" s="351">
        <v>0</v>
      </c>
      <c r="AB417" s="351">
        <v>0</v>
      </c>
      <c r="AC417" s="351">
        <v>0</v>
      </c>
      <c r="AD417" s="351">
        <v>0</v>
      </c>
      <c r="AE417" s="351">
        <v>0</v>
      </c>
      <c r="AF417" s="351">
        <v>0</v>
      </c>
      <c r="AG417" s="351">
        <v>0</v>
      </c>
      <c r="AH417" s="351">
        <v>0</v>
      </c>
      <c r="AI417" s="351">
        <v>0</v>
      </c>
      <c r="AJ417" s="351">
        <f t="shared" si="192"/>
        <v>93721.32</v>
      </c>
      <c r="AK417" s="351">
        <f t="shared" si="193"/>
        <v>46860.66</v>
      </c>
      <c r="AL417" s="351">
        <v>0</v>
      </c>
      <c r="AM417" s="352"/>
      <c r="AN417" s="352"/>
    </row>
    <row r="418" spans="1:40" s="19" customFormat="1" ht="9" hidden="1" customHeight="1">
      <c r="A418" s="349">
        <v>58</v>
      </c>
      <c r="B418" s="118" t="s">
        <v>676</v>
      </c>
      <c r="C418" s="343">
        <v>3514.8</v>
      </c>
      <c r="D418" s="343"/>
      <c r="E418" s="257"/>
      <c r="F418" s="257"/>
      <c r="G418" s="123">
        <v>2920584</v>
      </c>
      <c r="H418" s="348">
        <f t="shared" si="190"/>
        <v>0</v>
      </c>
      <c r="I418" s="129">
        <v>0</v>
      </c>
      <c r="J418" s="129">
        <v>0</v>
      </c>
      <c r="K418" s="129">
        <v>0</v>
      </c>
      <c r="L418" s="129">
        <v>0</v>
      </c>
      <c r="M418" s="129">
        <v>0</v>
      </c>
      <c r="N418" s="348">
        <v>0</v>
      </c>
      <c r="O418" s="348">
        <v>0</v>
      </c>
      <c r="P418" s="348">
        <v>0</v>
      </c>
      <c r="Q418" s="348">
        <v>0</v>
      </c>
      <c r="R418" s="348">
        <v>0</v>
      </c>
      <c r="S418" s="348">
        <v>0</v>
      </c>
      <c r="T418" s="44">
        <v>0</v>
      </c>
      <c r="U418" s="348">
        <v>0</v>
      </c>
      <c r="V418" s="257" t="s">
        <v>997</v>
      </c>
      <c r="W418" s="351">
        <v>876</v>
      </c>
      <c r="X418" s="348">
        <f t="shared" si="191"/>
        <v>2789157.72</v>
      </c>
      <c r="Y418" s="351">
        <v>0</v>
      </c>
      <c r="Z418" s="351">
        <v>0</v>
      </c>
      <c r="AA418" s="351">
        <v>0</v>
      </c>
      <c r="AB418" s="351">
        <v>0</v>
      </c>
      <c r="AC418" s="351">
        <v>0</v>
      </c>
      <c r="AD418" s="351">
        <v>0</v>
      </c>
      <c r="AE418" s="351">
        <v>0</v>
      </c>
      <c r="AF418" s="351">
        <v>0</v>
      </c>
      <c r="AG418" s="351">
        <v>0</v>
      </c>
      <c r="AH418" s="351">
        <v>0</v>
      </c>
      <c r="AI418" s="351">
        <v>0</v>
      </c>
      <c r="AJ418" s="351">
        <f t="shared" si="192"/>
        <v>87617.52</v>
      </c>
      <c r="AK418" s="351">
        <f t="shared" si="193"/>
        <v>43808.76</v>
      </c>
      <c r="AL418" s="351">
        <v>0</v>
      </c>
      <c r="AM418" s="352"/>
      <c r="AN418" s="352"/>
    </row>
    <row r="419" spans="1:40" s="19" customFormat="1" ht="9" hidden="1" customHeight="1">
      <c r="A419" s="349">
        <v>59</v>
      </c>
      <c r="B419" s="118" t="s">
        <v>677</v>
      </c>
      <c r="C419" s="343">
        <v>3479</v>
      </c>
      <c r="D419" s="343"/>
      <c r="E419" s="257"/>
      <c r="F419" s="257"/>
      <c r="G419" s="123">
        <v>3614056</v>
      </c>
      <c r="H419" s="348">
        <f t="shared" si="190"/>
        <v>0</v>
      </c>
      <c r="I419" s="129">
        <v>0</v>
      </c>
      <c r="J419" s="129">
        <v>0</v>
      </c>
      <c r="K419" s="129">
        <v>0</v>
      </c>
      <c r="L419" s="129">
        <v>0</v>
      </c>
      <c r="M419" s="129">
        <v>0</v>
      </c>
      <c r="N419" s="348">
        <v>0</v>
      </c>
      <c r="O419" s="348">
        <v>0</v>
      </c>
      <c r="P419" s="348">
        <v>0</v>
      </c>
      <c r="Q419" s="348">
        <v>0</v>
      </c>
      <c r="R419" s="348">
        <v>0</v>
      </c>
      <c r="S419" s="348">
        <v>0</v>
      </c>
      <c r="T419" s="44">
        <v>0</v>
      </c>
      <c r="U419" s="348">
        <v>0</v>
      </c>
      <c r="V419" s="257" t="s">
        <v>997</v>
      </c>
      <c r="W419" s="351">
        <v>1084</v>
      </c>
      <c r="X419" s="348">
        <f t="shared" si="191"/>
        <v>3451423.48</v>
      </c>
      <c r="Y419" s="351">
        <v>0</v>
      </c>
      <c r="Z419" s="351">
        <v>0</v>
      </c>
      <c r="AA419" s="351">
        <v>0</v>
      </c>
      <c r="AB419" s="351">
        <v>0</v>
      </c>
      <c r="AC419" s="351">
        <v>0</v>
      </c>
      <c r="AD419" s="351">
        <v>0</v>
      </c>
      <c r="AE419" s="351">
        <v>0</v>
      </c>
      <c r="AF419" s="351">
        <v>0</v>
      </c>
      <c r="AG419" s="351">
        <v>0</v>
      </c>
      <c r="AH419" s="351">
        <v>0</v>
      </c>
      <c r="AI419" s="351">
        <v>0</v>
      </c>
      <c r="AJ419" s="351">
        <f t="shared" si="192"/>
        <v>108421.68</v>
      </c>
      <c r="AK419" s="351">
        <f t="shared" si="193"/>
        <v>54210.84</v>
      </c>
      <c r="AL419" s="351">
        <v>0</v>
      </c>
      <c r="AM419" s="352"/>
      <c r="AN419" s="352"/>
    </row>
    <row r="420" spans="1:40" s="19" customFormat="1" ht="9" hidden="1" customHeight="1">
      <c r="A420" s="349">
        <v>60</v>
      </c>
      <c r="B420" s="118" t="s">
        <v>678</v>
      </c>
      <c r="C420" s="343">
        <v>3489</v>
      </c>
      <c r="D420" s="343"/>
      <c r="E420" s="257"/>
      <c r="F420" s="257"/>
      <c r="G420" s="123">
        <v>3600720</v>
      </c>
      <c r="H420" s="348">
        <f t="shared" si="190"/>
        <v>0</v>
      </c>
      <c r="I420" s="129">
        <v>0</v>
      </c>
      <c r="J420" s="129">
        <v>0</v>
      </c>
      <c r="K420" s="129">
        <v>0</v>
      </c>
      <c r="L420" s="129">
        <v>0</v>
      </c>
      <c r="M420" s="129">
        <v>0</v>
      </c>
      <c r="N420" s="348">
        <v>0</v>
      </c>
      <c r="O420" s="348">
        <v>0</v>
      </c>
      <c r="P420" s="348">
        <v>0</v>
      </c>
      <c r="Q420" s="348">
        <v>0</v>
      </c>
      <c r="R420" s="348">
        <v>0</v>
      </c>
      <c r="S420" s="348">
        <v>0</v>
      </c>
      <c r="T420" s="44">
        <v>0</v>
      </c>
      <c r="U420" s="348">
        <v>0</v>
      </c>
      <c r="V420" s="257" t="s">
        <v>997</v>
      </c>
      <c r="W420" s="351">
        <v>1080</v>
      </c>
      <c r="X420" s="348">
        <f t="shared" si="191"/>
        <v>3438687.6</v>
      </c>
      <c r="Y420" s="351">
        <v>0</v>
      </c>
      <c r="Z420" s="351">
        <v>0</v>
      </c>
      <c r="AA420" s="351">
        <v>0</v>
      </c>
      <c r="AB420" s="351">
        <v>0</v>
      </c>
      <c r="AC420" s="351">
        <v>0</v>
      </c>
      <c r="AD420" s="351">
        <v>0</v>
      </c>
      <c r="AE420" s="351">
        <v>0</v>
      </c>
      <c r="AF420" s="351">
        <v>0</v>
      </c>
      <c r="AG420" s="351">
        <v>0</v>
      </c>
      <c r="AH420" s="351">
        <v>0</v>
      </c>
      <c r="AI420" s="351">
        <v>0</v>
      </c>
      <c r="AJ420" s="351">
        <f t="shared" si="192"/>
        <v>108021.6</v>
      </c>
      <c r="AK420" s="351">
        <f t="shared" si="193"/>
        <v>54010.8</v>
      </c>
      <c r="AL420" s="351">
        <v>0</v>
      </c>
      <c r="AM420" s="352"/>
      <c r="AN420" s="352"/>
    </row>
    <row r="421" spans="1:40" s="19" customFormat="1" ht="9" hidden="1" customHeight="1">
      <c r="A421" s="349">
        <v>61</v>
      </c>
      <c r="B421" s="118" t="s">
        <v>679</v>
      </c>
      <c r="C421" s="343">
        <v>3498.1</v>
      </c>
      <c r="D421" s="343"/>
      <c r="E421" s="257"/>
      <c r="F421" s="257"/>
      <c r="G421" s="123">
        <v>3620724</v>
      </c>
      <c r="H421" s="348">
        <f t="shared" si="190"/>
        <v>0</v>
      </c>
      <c r="I421" s="129">
        <v>0</v>
      </c>
      <c r="J421" s="129">
        <v>0</v>
      </c>
      <c r="K421" s="129">
        <v>0</v>
      </c>
      <c r="L421" s="129">
        <v>0</v>
      </c>
      <c r="M421" s="129">
        <v>0</v>
      </c>
      <c r="N421" s="348">
        <v>0</v>
      </c>
      <c r="O421" s="348">
        <v>0</v>
      </c>
      <c r="P421" s="348">
        <v>0</v>
      </c>
      <c r="Q421" s="348">
        <v>0</v>
      </c>
      <c r="R421" s="348">
        <v>0</v>
      </c>
      <c r="S421" s="348">
        <v>0</v>
      </c>
      <c r="T421" s="44">
        <v>0</v>
      </c>
      <c r="U421" s="348">
        <v>0</v>
      </c>
      <c r="V421" s="257" t="s">
        <v>997</v>
      </c>
      <c r="W421" s="351">
        <v>1086</v>
      </c>
      <c r="X421" s="348">
        <f t="shared" si="191"/>
        <v>3457791.42</v>
      </c>
      <c r="Y421" s="351">
        <v>0</v>
      </c>
      <c r="Z421" s="351">
        <v>0</v>
      </c>
      <c r="AA421" s="351">
        <v>0</v>
      </c>
      <c r="AB421" s="351">
        <v>0</v>
      </c>
      <c r="AC421" s="351">
        <v>0</v>
      </c>
      <c r="AD421" s="351">
        <v>0</v>
      </c>
      <c r="AE421" s="351">
        <v>0</v>
      </c>
      <c r="AF421" s="351">
        <v>0</v>
      </c>
      <c r="AG421" s="351">
        <v>0</v>
      </c>
      <c r="AH421" s="351">
        <v>0</v>
      </c>
      <c r="AI421" s="351">
        <v>0</v>
      </c>
      <c r="AJ421" s="351">
        <f t="shared" si="192"/>
        <v>108621.72</v>
      </c>
      <c r="AK421" s="351">
        <f t="shared" si="193"/>
        <v>54310.86</v>
      </c>
      <c r="AL421" s="351">
        <v>0</v>
      </c>
      <c r="AM421" s="352"/>
      <c r="AN421" s="352"/>
    </row>
    <row r="422" spans="1:40" s="19" customFormat="1" ht="9" hidden="1" customHeight="1">
      <c r="A422" s="349">
        <v>62</v>
      </c>
      <c r="B422" s="118" t="s">
        <v>680</v>
      </c>
      <c r="C422" s="343">
        <v>2384</v>
      </c>
      <c r="D422" s="343"/>
      <c r="E422" s="257"/>
      <c r="F422" s="257"/>
      <c r="G422" s="123">
        <v>3620724</v>
      </c>
      <c r="H422" s="348">
        <f t="shared" si="190"/>
        <v>0</v>
      </c>
      <c r="I422" s="129">
        <v>0</v>
      </c>
      <c r="J422" s="129">
        <v>0</v>
      </c>
      <c r="K422" s="129">
        <v>0</v>
      </c>
      <c r="L422" s="129">
        <v>0</v>
      </c>
      <c r="M422" s="129">
        <v>0</v>
      </c>
      <c r="N422" s="348">
        <v>0</v>
      </c>
      <c r="O422" s="348">
        <v>0</v>
      </c>
      <c r="P422" s="348">
        <v>0</v>
      </c>
      <c r="Q422" s="348">
        <v>0</v>
      </c>
      <c r="R422" s="348">
        <v>0</v>
      </c>
      <c r="S422" s="348">
        <v>0</v>
      </c>
      <c r="T422" s="44">
        <v>0</v>
      </c>
      <c r="U422" s="348">
        <v>0</v>
      </c>
      <c r="V422" s="257" t="s">
        <v>997</v>
      </c>
      <c r="W422" s="351">
        <v>1086</v>
      </c>
      <c r="X422" s="348">
        <f t="shared" si="191"/>
        <v>3457791.42</v>
      </c>
      <c r="Y422" s="351">
        <v>0</v>
      </c>
      <c r="Z422" s="351">
        <v>0</v>
      </c>
      <c r="AA422" s="351">
        <v>0</v>
      </c>
      <c r="AB422" s="351">
        <v>0</v>
      </c>
      <c r="AC422" s="351">
        <v>0</v>
      </c>
      <c r="AD422" s="351">
        <v>0</v>
      </c>
      <c r="AE422" s="351">
        <v>0</v>
      </c>
      <c r="AF422" s="351">
        <v>0</v>
      </c>
      <c r="AG422" s="351">
        <v>0</v>
      </c>
      <c r="AH422" s="351">
        <v>0</v>
      </c>
      <c r="AI422" s="351">
        <v>0</v>
      </c>
      <c r="AJ422" s="351">
        <f t="shared" si="192"/>
        <v>108621.72</v>
      </c>
      <c r="AK422" s="351">
        <f t="shared" si="193"/>
        <v>54310.86</v>
      </c>
      <c r="AL422" s="351">
        <v>0</v>
      </c>
      <c r="AM422" s="352"/>
      <c r="AN422" s="352"/>
    </row>
    <row r="423" spans="1:40" s="19" customFormat="1" ht="9" hidden="1" customHeight="1">
      <c r="A423" s="349">
        <v>63</v>
      </c>
      <c r="B423" s="118" t="s">
        <v>681</v>
      </c>
      <c r="C423" s="343">
        <v>3305.77</v>
      </c>
      <c r="D423" s="343"/>
      <c r="E423" s="257"/>
      <c r="F423" s="257"/>
      <c r="G423" s="123">
        <v>3607388</v>
      </c>
      <c r="H423" s="348">
        <f t="shared" si="190"/>
        <v>0</v>
      </c>
      <c r="I423" s="129">
        <v>0</v>
      </c>
      <c r="J423" s="129">
        <v>0</v>
      </c>
      <c r="K423" s="129">
        <v>0</v>
      </c>
      <c r="L423" s="129">
        <v>0</v>
      </c>
      <c r="M423" s="129">
        <v>0</v>
      </c>
      <c r="N423" s="348">
        <v>0</v>
      </c>
      <c r="O423" s="348">
        <v>0</v>
      </c>
      <c r="P423" s="348">
        <v>0</v>
      </c>
      <c r="Q423" s="348">
        <v>0</v>
      </c>
      <c r="R423" s="348">
        <v>0</v>
      </c>
      <c r="S423" s="348">
        <v>0</v>
      </c>
      <c r="T423" s="44">
        <v>0</v>
      </c>
      <c r="U423" s="348">
        <v>0</v>
      </c>
      <c r="V423" s="257" t="s">
        <v>997</v>
      </c>
      <c r="W423" s="351">
        <v>1082</v>
      </c>
      <c r="X423" s="348">
        <f t="shared" si="191"/>
        <v>3445055.54</v>
      </c>
      <c r="Y423" s="351">
        <v>0</v>
      </c>
      <c r="Z423" s="351">
        <v>0</v>
      </c>
      <c r="AA423" s="351">
        <v>0</v>
      </c>
      <c r="AB423" s="351">
        <v>0</v>
      </c>
      <c r="AC423" s="351">
        <v>0</v>
      </c>
      <c r="AD423" s="351">
        <v>0</v>
      </c>
      <c r="AE423" s="351">
        <v>0</v>
      </c>
      <c r="AF423" s="351">
        <v>0</v>
      </c>
      <c r="AG423" s="351">
        <v>0</v>
      </c>
      <c r="AH423" s="351">
        <v>0</v>
      </c>
      <c r="AI423" s="351">
        <v>0</v>
      </c>
      <c r="AJ423" s="351">
        <f t="shared" si="192"/>
        <v>108221.64</v>
      </c>
      <c r="AK423" s="351">
        <f t="shared" si="193"/>
        <v>54110.82</v>
      </c>
      <c r="AL423" s="351">
        <v>0</v>
      </c>
      <c r="AM423" s="352"/>
      <c r="AN423" s="352"/>
    </row>
    <row r="424" spans="1:40" s="19" customFormat="1" ht="9" hidden="1" customHeight="1">
      <c r="A424" s="349">
        <v>64</v>
      </c>
      <c r="B424" s="118" t="s">
        <v>682</v>
      </c>
      <c r="C424" s="343">
        <v>3494.9</v>
      </c>
      <c r="D424" s="343"/>
      <c r="E424" s="257"/>
      <c r="F424" s="257"/>
      <c r="G424" s="123">
        <v>3927452</v>
      </c>
      <c r="H424" s="348">
        <f t="shared" si="190"/>
        <v>0</v>
      </c>
      <c r="I424" s="129">
        <v>0</v>
      </c>
      <c r="J424" s="129">
        <v>0</v>
      </c>
      <c r="K424" s="129">
        <v>0</v>
      </c>
      <c r="L424" s="129">
        <v>0</v>
      </c>
      <c r="M424" s="129">
        <v>0</v>
      </c>
      <c r="N424" s="348">
        <v>0</v>
      </c>
      <c r="O424" s="348">
        <v>0</v>
      </c>
      <c r="P424" s="348">
        <v>0</v>
      </c>
      <c r="Q424" s="348">
        <v>0</v>
      </c>
      <c r="R424" s="348">
        <v>0</v>
      </c>
      <c r="S424" s="348">
        <v>0</v>
      </c>
      <c r="T424" s="44">
        <v>0</v>
      </c>
      <c r="U424" s="348">
        <v>0</v>
      </c>
      <c r="V424" s="257" t="s">
        <v>997</v>
      </c>
      <c r="W424" s="351">
        <v>1178</v>
      </c>
      <c r="X424" s="348">
        <f t="shared" si="191"/>
        <v>3750716.66</v>
      </c>
      <c r="Y424" s="351">
        <v>0</v>
      </c>
      <c r="Z424" s="351">
        <v>0</v>
      </c>
      <c r="AA424" s="351">
        <v>0</v>
      </c>
      <c r="AB424" s="351">
        <v>0</v>
      </c>
      <c r="AC424" s="351">
        <v>0</v>
      </c>
      <c r="AD424" s="351">
        <v>0</v>
      </c>
      <c r="AE424" s="351">
        <v>0</v>
      </c>
      <c r="AF424" s="351">
        <v>0</v>
      </c>
      <c r="AG424" s="351">
        <v>0</v>
      </c>
      <c r="AH424" s="351">
        <v>0</v>
      </c>
      <c r="AI424" s="351">
        <v>0</v>
      </c>
      <c r="AJ424" s="351">
        <f t="shared" si="192"/>
        <v>117823.56</v>
      </c>
      <c r="AK424" s="351">
        <f t="shared" si="193"/>
        <v>58911.78</v>
      </c>
      <c r="AL424" s="351">
        <v>0</v>
      </c>
      <c r="AM424" s="352"/>
      <c r="AN424" s="352"/>
    </row>
    <row r="425" spans="1:40" s="19" customFormat="1" ht="9" hidden="1" customHeight="1">
      <c r="A425" s="349">
        <v>65</v>
      </c>
      <c r="B425" s="118" t="s">
        <v>683</v>
      </c>
      <c r="C425" s="343">
        <v>3197.9</v>
      </c>
      <c r="D425" s="343"/>
      <c r="E425" s="257"/>
      <c r="F425" s="257"/>
      <c r="G425" s="123">
        <v>3083950</v>
      </c>
      <c r="H425" s="348">
        <f t="shared" si="190"/>
        <v>0</v>
      </c>
      <c r="I425" s="129">
        <v>0</v>
      </c>
      <c r="J425" s="129">
        <v>0</v>
      </c>
      <c r="K425" s="129">
        <v>0</v>
      </c>
      <c r="L425" s="129">
        <v>0</v>
      </c>
      <c r="M425" s="129">
        <v>0</v>
      </c>
      <c r="N425" s="348">
        <v>0</v>
      </c>
      <c r="O425" s="348">
        <v>0</v>
      </c>
      <c r="P425" s="348">
        <v>0</v>
      </c>
      <c r="Q425" s="348">
        <v>0</v>
      </c>
      <c r="R425" s="348">
        <v>0</v>
      </c>
      <c r="S425" s="348">
        <v>0</v>
      </c>
      <c r="T425" s="44">
        <v>0</v>
      </c>
      <c r="U425" s="348">
        <v>0</v>
      </c>
      <c r="V425" s="257" t="s">
        <v>997</v>
      </c>
      <c r="W425" s="351">
        <v>925</v>
      </c>
      <c r="X425" s="348">
        <f t="shared" si="191"/>
        <v>2945172.25</v>
      </c>
      <c r="Y425" s="351">
        <v>0</v>
      </c>
      <c r="Z425" s="351">
        <v>0</v>
      </c>
      <c r="AA425" s="351">
        <v>0</v>
      </c>
      <c r="AB425" s="351">
        <v>0</v>
      </c>
      <c r="AC425" s="351">
        <v>0</v>
      </c>
      <c r="AD425" s="351">
        <v>0</v>
      </c>
      <c r="AE425" s="351">
        <v>0</v>
      </c>
      <c r="AF425" s="351">
        <v>0</v>
      </c>
      <c r="AG425" s="351">
        <v>0</v>
      </c>
      <c r="AH425" s="351">
        <v>0</v>
      </c>
      <c r="AI425" s="351">
        <v>0</v>
      </c>
      <c r="AJ425" s="351">
        <f t="shared" si="192"/>
        <v>92518.5</v>
      </c>
      <c r="AK425" s="351">
        <f t="shared" si="193"/>
        <v>46259.25</v>
      </c>
      <c r="AL425" s="351">
        <v>0</v>
      </c>
      <c r="AM425" s="352"/>
      <c r="AN425" s="352"/>
    </row>
    <row r="426" spans="1:40" s="19" customFormat="1" ht="9" hidden="1" customHeight="1">
      <c r="A426" s="349">
        <v>66</v>
      </c>
      <c r="B426" s="118" t="s">
        <v>684</v>
      </c>
      <c r="C426" s="343">
        <v>4490</v>
      </c>
      <c r="D426" s="343"/>
      <c r="E426" s="257"/>
      <c r="F426" s="257"/>
      <c r="G426" s="123">
        <v>6117890</v>
      </c>
      <c r="H426" s="348">
        <f t="shared" si="190"/>
        <v>0</v>
      </c>
      <c r="I426" s="129">
        <v>0</v>
      </c>
      <c r="J426" s="129">
        <v>0</v>
      </c>
      <c r="K426" s="129">
        <v>0</v>
      </c>
      <c r="L426" s="129">
        <v>0</v>
      </c>
      <c r="M426" s="129">
        <v>0</v>
      </c>
      <c r="N426" s="348">
        <v>0</v>
      </c>
      <c r="O426" s="348">
        <v>0</v>
      </c>
      <c r="P426" s="348">
        <v>0</v>
      </c>
      <c r="Q426" s="348">
        <v>0</v>
      </c>
      <c r="R426" s="348">
        <v>0</v>
      </c>
      <c r="S426" s="348">
        <v>0</v>
      </c>
      <c r="T426" s="44">
        <v>0</v>
      </c>
      <c r="U426" s="348">
        <v>0</v>
      </c>
      <c r="V426" s="257" t="s">
        <v>997</v>
      </c>
      <c r="W426" s="351">
        <v>1835</v>
      </c>
      <c r="X426" s="348">
        <f t="shared" si="191"/>
        <v>5842584.9500000002</v>
      </c>
      <c r="Y426" s="351">
        <v>0</v>
      </c>
      <c r="Z426" s="351">
        <v>0</v>
      </c>
      <c r="AA426" s="351">
        <v>0</v>
      </c>
      <c r="AB426" s="351">
        <v>0</v>
      </c>
      <c r="AC426" s="351">
        <v>0</v>
      </c>
      <c r="AD426" s="351">
        <v>0</v>
      </c>
      <c r="AE426" s="351">
        <v>0</v>
      </c>
      <c r="AF426" s="351">
        <v>0</v>
      </c>
      <c r="AG426" s="351">
        <v>0</v>
      </c>
      <c r="AH426" s="351">
        <v>0</v>
      </c>
      <c r="AI426" s="351">
        <v>0</v>
      </c>
      <c r="AJ426" s="351">
        <f t="shared" si="192"/>
        <v>183536.7</v>
      </c>
      <c r="AK426" s="351">
        <f t="shared" si="193"/>
        <v>91768.35</v>
      </c>
      <c r="AL426" s="351">
        <v>0</v>
      </c>
      <c r="AM426" s="352"/>
      <c r="AN426" s="352"/>
    </row>
    <row r="427" spans="1:40" s="19" customFormat="1" ht="9" hidden="1" customHeight="1">
      <c r="A427" s="349">
        <v>67</v>
      </c>
      <c r="B427" s="118" t="s">
        <v>685</v>
      </c>
      <c r="C427" s="343">
        <v>7044</v>
      </c>
      <c r="D427" s="343"/>
      <c r="E427" s="257"/>
      <c r="F427" s="257"/>
      <c r="G427" s="123">
        <v>10608788</v>
      </c>
      <c r="H427" s="348">
        <f t="shared" si="190"/>
        <v>0</v>
      </c>
      <c r="I427" s="129">
        <v>0</v>
      </c>
      <c r="J427" s="129">
        <v>0</v>
      </c>
      <c r="K427" s="129">
        <v>0</v>
      </c>
      <c r="L427" s="129">
        <v>0</v>
      </c>
      <c r="M427" s="129">
        <v>0</v>
      </c>
      <c r="N427" s="348">
        <v>0</v>
      </c>
      <c r="O427" s="348">
        <v>0</v>
      </c>
      <c r="P427" s="348">
        <v>0</v>
      </c>
      <c r="Q427" s="348">
        <v>0</v>
      </c>
      <c r="R427" s="348">
        <v>0</v>
      </c>
      <c r="S427" s="348">
        <v>0</v>
      </c>
      <c r="T427" s="44">
        <v>0</v>
      </c>
      <c r="U427" s="348">
        <v>0</v>
      </c>
      <c r="V427" s="257" t="s">
        <v>997</v>
      </c>
      <c r="W427" s="351">
        <v>3182</v>
      </c>
      <c r="X427" s="348">
        <f t="shared" si="191"/>
        <v>10131392.539999999</v>
      </c>
      <c r="Y427" s="351">
        <v>0</v>
      </c>
      <c r="Z427" s="351">
        <v>0</v>
      </c>
      <c r="AA427" s="351">
        <v>0</v>
      </c>
      <c r="AB427" s="351">
        <v>0</v>
      </c>
      <c r="AC427" s="351">
        <v>0</v>
      </c>
      <c r="AD427" s="351">
        <v>0</v>
      </c>
      <c r="AE427" s="351">
        <v>0</v>
      </c>
      <c r="AF427" s="351">
        <v>0</v>
      </c>
      <c r="AG427" s="351">
        <v>0</v>
      </c>
      <c r="AH427" s="351">
        <v>0</v>
      </c>
      <c r="AI427" s="351">
        <v>0</v>
      </c>
      <c r="AJ427" s="351">
        <f t="shared" si="192"/>
        <v>318263.64</v>
      </c>
      <c r="AK427" s="351">
        <f t="shared" si="193"/>
        <v>159131.82</v>
      </c>
      <c r="AL427" s="351">
        <v>0</v>
      </c>
      <c r="AM427" s="352"/>
      <c r="AN427" s="352"/>
    </row>
    <row r="428" spans="1:40" s="19" customFormat="1" ht="9" hidden="1" customHeight="1">
      <c r="A428" s="349">
        <v>68</v>
      </c>
      <c r="B428" s="118" t="s">
        <v>686</v>
      </c>
      <c r="C428" s="343">
        <v>4642.5</v>
      </c>
      <c r="D428" s="343"/>
      <c r="E428" s="257"/>
      <c r="F428" s="257"/>
      <c r="G428" s="123">
        <v>4347536</v>
      </c>
      <c r="H428" s="348">
        <f t="shared" si="190"/>
        <v>0</v>
      </c>
      <c r="I428" s="129">
        <v>0</v>
      </c>
      <c r="J428" s="129">
        <v>0</v>
      </c>
      <c r="K428" s="129">
        <v>0</v>
      </c>
      <c r="L428" s="129">
        <v>0</v>
      </c>
      <c r="M428" s="129">
        <v>0</v>
      </c>
      <c r="N428" s="348">
        <v>0</v>
      </c>
      <c r="O428" s="348">
        <v>0</v>
      </c>
      <c r="P428" s="348">
        <v>0</v>
      </c>
      <c r="Q428" s="348">
        <v>0</v>
      </c>
      <c r="R428" s="348">
        <v>0</v>
      </c>
      <c r="S428" s="348">
        <v>0</v>
      </c>
      <c r="T428" s="44">
        <v>0</v>
      </c>
      <c r="U428" s="348">
        <v>0</v>
      </c>
      <c r="V428" s="257" t="s">
        <v>997</v>
      </c>
      <c r="W428" s="351">
        <v>1304</v>
      </c>
      <c r="X428" s="348">
        <f t="shared" si="191"/>
        <v>4151896.88</v>
      </c>
      <c r="Y428" s="351">
        <v>0</v>
      </c>
      <c r="Z428" s="351">
        <v>0</v>
      </c>
      <c r="AA428" s="351">
        <v>0</v>
      </c>
      <c r="AB428" s="351">
        <v>0</v>
      </c>
      <c r="AC428" s="351">
        <v>0</v>
      </c>
      <c r="AD428" s="351">
        <v>0</v>
      </c>
      <c r="AE428" s="351">
        <v>0</v>
      </c>
      <c r="AF428" s="351">
        <v>0</v>
      </c>
      <c r="AG428" s="351">
        <v>0</v>
      </c>
      <c r="AH428" s="351">
        <v>0</v>
      </c>
      <c r="AI428" s="351">
        <v>0</v>
      </c>
      <c r="AJ428" s="351">
        <f t="shared" si="192"/>
        <v>130426.08</v>
      </c>
      <c r="AK428" s="351">
        <f t="shared" si="193"/>
        <v>65213.04</v>
      </c>
      <c r="AL428" s="351">
        <v>0</v>
      </c>
      <c r="AM428" s="352"/>
      <c r="AN428" s="352"/>
    </row>
    <row r="429" spans="1:40" s="19" customFormat="1" ht="9" hidden="1" customHeight="1">
      <c r="A429" s="349">
        <v>69</v>
      </c>
      <c r="B429" s="118" t="s">
        <v>687</v>
      </c>
      <c r="C429" s="343">
        <v>4599.1000000000004</v>
      </c>
      <c r="D429" s="343"/>
      <c r="E429" s="257"/>
      <c r="F429" s="257"/>
      <c r="G429" s="123">
        <v>3980796</v>
      </c>
      <c r="H429" s="348">
        <f t="shared" si="190"/>
        <v>0</v>
      </c>
      <c r="I429" s="129">
        <v>0</v>
      </c>
      <c r="J429" s="129">
        <v>0</v>
      </c>
      <c r="K429" s="129">
        <v>0</v>
      </c>
      <c r="L429" s="129">
        <v>0</v>
      </c>
      <c r="M429" s="129">
        <v>0</v>
      </c>
      <c r="N429" s="348">
        <v>0</v>
      </c>
      <c r="O429" s="348">
        <v>0</v>
      </c>
      <c r="P429" s="348">
        <v>0</v>
      </c>
      <c r="Q429" s="348">
        <v>0</v>
      </c>
      <c r="R429" s="348">
        <v>0</v>
      </c>
      <c r="S429" s="348">
        <v>0</v>
      </c>
      <c r="T429" s="44">
        <v>0</v>
      </c>
      <c r="U429" s="348">
        <v>0</v>
      </c>
      <c r="V429" s="257" t="s">
        <v>997</v>
      </c>
      <c r="W429" s="351">
        <v>1194</v>
      </c>
      <c r="X429" s="348">
        <f t="shared" si="191"/>
        <v>3801660.18</v>
      </c>
      <c r="Y429" s="351">
        <v>0</v>
      </c>
      <c r="Z429" s="351">
        <v>0</v>
      </c>
      <c r="AA429" s="351">
        <v>0</v>
      </c>
      <c r="AB429" s="351">
        <v>0</v>
      </c>
      <c r="AC429" s="351">
        <v>0</v>
      </c>
      <c r="AD429" s="351">
        <v>0</v>
      </c>
      <c r="AE429" s="351">
        <v>0</v>
      </c>
      <c r="AF429" s="351">
        <v>0</v>
      </c>
      <c r="AG429" s="351">
        <v>0</v>
      </c>
      <c r="AH429" s="351">
        <v>0</v>
      </c>
      <c r="AI429" s="351">
        <v>0</v>
      </c>
      <c r="AJ429" s="351">
        <f t="shared" si="192"/>
        <v>119423.88</v>
      </c>
      <c r="AK429" s="351">
        <f t="shared" si="193"/>
        <v>59711.94</v>
      </c>
      <c r="AL429" s="351">
        <v>0</v>
      </c>
      <c r="AM429" s="352"/>
      <c r="AN429" s="352"/>
    </row>
    <row r="430" spans="1:40" s="19" customFormat="1" ht="9" hidden="1" customHeight="1">
      <c r="A430" s="349">
        <v>70</v>
      </c>
      <c r="B430" s="118" t="s">
        <v>688</v>
      </c>
      <c r="C430" s="343">
        <v>1900.6</v>
      </c>
      <c r="D430" s="343"/>
      <c r="E430" s="257"/>
      <c r="F430" s="257"/>
      <c r="G430" s="123">
        <v>2353804</v>
      </c>
      <c r="H430" s="348">
        <f t="shared" si="190"/>
        <v>0</v>
      </c>
      <c r="I430" s="129">
        <v>0</v>
      </c>
      <c r="J430" s="129">
        <v>0</v>
      </c>
      <c r="K430" s="129">
        <v>0</v>
      </c>
      <c r="L430" s="129">
        <v>0</v>
      </c>
      <c r="M430" s="129">
        <v>0</v>
      </c>
      <c r="N430" s="348">
        <v>0</v>
      </c>
      <c r="O430" s="348">
        <v>0</v>
      </c>
      <c r="P430" s="348">
        <v>0</v>
      </c>
      <c r="Q430" s="348">
        <v>0</v>
      </c>
      <c r="R430" s="348">
        <v>0</v>
      </c>
      <c r="S430" s="348">
        <v>0</v>
      </c>
      <c r="T430" s="44">
        <v>0</v>
      </c>
      <c r="U430" s="348">
        <v>0</v>
      </c>
      <c r="V430" s="257" t="s">
        <v>997</v>
      </c>
      <c r="W430" s="351">
        <v>706</v>
      </c>
      <c r="X430" s="348">
        <f t="shared" si="191"/>
        <v>2247882.8199999998</v>
      </c>
      <c r="Y430" s="351">
        <v>0</v>
      </c>
      <c r="Z430" s="351">
        <v>0</v>
      </c>
      <c r="AA430" s="351">
        <v>0</v>
      </c>
      <c r="AB430" s="351">
        <v>0</v>
      </c>
      <c r="AC430" s="351">
        <v>0</v>
      </c>
      <c r="AD430" s="351">
        <v>0</v>
      </c>
      <c r="AE430" s="351">
        <v>0</v>
      </c>
      <c r="AF430" s="351">
        <v>0</v>
      </c>
      <c r="AG430" s="351">
        <v>0</v>
      </c>
      <c r="AH430" s="351">
        <v>0</v>
      </c>
      <c r="AI430" s="351">
        <v>0</v>
      </c>
      <c r="AJ430" s="351">
        <f t="shared" si="192"/>
        <v>70614.12</v>
      </c>
      <c r="AK430" s="351">
        <f t="shared" si="193"/>
        <v>35307.06</v>
      </c>
      <c r="AL430" s="351">
        <v>0</v>
      </c>
      <c r="AM430" s="352"/>
      <c r="AN430" s="352"/>
    </row>
    <row r="431" spans="1:40" s="19" customFormat="1" ht="9" hidden="1" customHeight="1">
      <c r="A431" s="349">
        <v>71</v>
      </c>
      <c r="B431" s="118" t="s">
        <v>689</v>
      </c>
      <c r="C431" s="343">
        <v>6141.9</v>
      </c>
      <c r="D431" s="343"/>
      <c r="E431" s="257"/>
      <c r="F431" s="257"/>
      <c r="G431" s="123">
        <v>6127892</v>
      </c>
      <c r="H431" s="348">
        <f t="shared" si="190"/>
        <v>0</v>
      </c>
      <c r="I431" s="129">
        <v>0</v>
      </c>
      <c r="J431" s="129">
        <v>0</v>
      </c>
      <c r="K431" s="129">
        <v>0</v>
      </c>
      <c r="L431" s="129">
        <v>0</v>
      </c>
      <c r="M431" s="129">
        <v>0</v>
      </c>
      <c r="N431" s="348">
        <v>0</v>
      </c>
      <c r="O431" s="348">
        <v>0</v>
      </c>
      <c r="P431" s="348">
        <v>0</v>
      </c>
      <c r="Q431" s="348">
        <v>0</v>
      </c>
      <c r="R431" s="348">
        <v>0</v>
      </c>
      <c r="S431" s="348">
        <v>0</v>
      </c>
      <c r="T431" s="44">
        <v>0</v>
      </c>
      <c r="U431" s="348">
        <v>0</v>
      </c>
      <c r="V431" s="257" t="s">
        <v>997</v>
      </c>
      <c r="W431" s="351">
        <v>1838</v>
      </c>
      <c r="X431" s="348">
        <f t="shared" si="191"/>
        <v>5852136.8600000003</v>
      </c>
      <c r="Y431" s="351">
        <v>0</v>
      </c>
      <c r="Z431" s="351">
        <v>0</v>
      </c>
      <c r="AA431" s="351">
        <v>0</v>
      </c>
      <c r="AB431" s="351">
        <v>0</v>
      </c>
      <c r="AC431" s="351">
        <v>0</v>
      </c>
      <c r="AD431" s="351">
        <v>0</v>
      </c>
      <c r="AE431" s="351">
        <v>0</v>
      </c>
      <c r="AF431" s="351">
        <v>0</v>
      </c>
      <c r="AG431" s="351">
        <v>0</v>
      </c>
      <c r="AH431" s="351">
        <v>0</v>
      </c>
      <c r="AI431" s="351">
        <v>0</v>
      </c>
      <c r="AJ431" s="351">
        <f t="shared" si="192"/>
        <v>183836.76</v>
      </c>
      <c r="AK431" s="351">
        <f t="shared" si="193"/>
        <v>91918.38</v>
      </c>
      <c r="AL431" s="351">
        <v>0</v>
      </c>
      <c r="AM431" s="352"/>
      <c r="AN431" s="352"/>
    </row>
    <row r="432" spans="1:40" s="19" customFormat="1" ht="9" hidden="1" customHeight="1">
      <c r="A432" s="349">
        <v>72</v>
      </c>
      <c r="B432" s="118" t="s">
        <v>690</v>
      </c>
      <c r="C432" s="343">
        <v>2019</v>
      </c>
      <c r="D432" s="343"/>
      <c r="E432" s="257"/>
      <c r="F432" s="257"/>
      <c r="G432" s="123">
        <v>2240448</v>
      </c>
      <c r="H432" s="348">
        <f t="shared" si="190"/>
        <v>0</v>
      </c>
      <c r="I432" s="129">
        <v>0</v>
      </c>
      <c r="J432" s="129">
        <v>0</v>
      </c>
      <c r="K432" s="129">
        <v>0</v>
      </c>
      <c r="L432" s="129">
        <v>0</v>
      </c>
      <c r="M432" s="129">
        <v>0</v>
      </c>
      <c r="N432" s="348">
        <v>0</v>
      </c>
      <c r="O432" s="348">
        <v>0</v>
      </c>
      <c r="P432" s="348">
        <v>0</v>
      </c>
      <c r="Q432" s="348">
        <v>0</v>
      </c>
      <c r="R432" s="348">
        <v>0</v>
      </c>
      <c r="S432" s="348">
        <v>0</v>
      </c>
      <c r="T432" s="44">
        <v>0</v>
      </c>
      <c r="U432" s="348">
        <v>0</v>
      </c>
      <c r="V432" s="257" t="s">
        <v>997</v>
      </c>
      <c r="W432" s="351">
        <v>672</v>
      </c>
      <c r="X432" s="348">
        <f t="shared" si="191"/>
        <v>2139627.84</v>
      </c>
      <c r="Y432" s="351">
        <v>0</v>
      </c>
      <c r="Z432" s="351">
        <v>0</v>
      </c>
      <c r="AA432" s="351">
        <v>0</v>
      </c>
      <c r="AB432" s="351">
        <v>0</v>
      </c>
      <c r="AC432" s="351">
        <v>0</v>
      </c>
      <c r="AD432" s="351">
        <v>0</v>
      </c>
      <c r="AE432" s="351">
        <v>0</v>
      </c>
      <c r="AF432" s="351">
        <v>0</v>
      </c>
      <c r="AG432" s="351">
        <v>0</v>
      </c>
      <c r="AH432" s="351">
        <v>0</v>
      </c>
      <c r="AI432" s="351">
        <v>0</v>
      </c>
      <c r="AJ432" s="351">
        <f t="shared" si="192"/>
        <v>67213.440000000002</v>
      </c>
      <c r="AK432" s="351">
        <f t="shared" si="193"/>
        <v>33606.720000000001</v>
      </c>
      <c r="AL432" s="351">
        <v>0</v>
      </c>
      <c r="AM432" s="352"/>
      <c r="AN432" s="352"/>
    </row>
    <row r="433" spans="1:40" s="19" customFormat="1" ht="9" hidden="1" customHeight="1">
      <c r="A433" s="349">
        <v>73</v>
      </c>
      <c r="B433" s="118" t="s">
        <v>691</v>
      </c>
      <c r="C433" s="343">
        <v>3119.8</v>
      </c>
      <c r="D433" s="343"/>
      <c r="E433" s="257"/>
      <c r="F433" s="257"/>
      <c r="G433" s="123">
        <v>3580038</v>
      </c>
      <c r="H433" s="348">
        <f t="shared" si="190"/>
        <v>0</v>
      </c>
      <c r="I433" s="129">
        <v>0</v>
      </c>
      <c r="J433" s="129">
        <v>0</v>
      </c>
      <c r="K433" s="129">
        <v>0</v>
      </c>
      <c r="L433" s="129">
        <v>0</v>
      </c>
      <c r="M433" s="129">
        <v>0</v>
      </c>
      <c r="N433" s="348">
        <v>0</v>
      </c>
      <c r="O433" s="348">
        <v>0</v>
      </c>
      <c r="P433" s="348">
        <v>0</v>
      </c>
      <c r="Q433" s="348">
        <v>0</v>
      </c>
      <c r="R433" s="348">
        <v>0</v>
      </c>
      <c r="S433" s="348">
        <v>0</v>
      </c>
      <c r="T433" s="44">
        <v>0</v>
      </c>
      <c r="U433" s="348">
        <v>0</v>
      </c>
      <c r="V433" s="257" t="s">
        <v>998</v>
      </c>
      <c r="W433" s="351">
        <v>1107</v>
      </c>
      <c r="X433" s="348">
        <f t="shared" si="191"/>
        <v>3418936.29</v>
      </c>
      <c r="Y433" s="351">
        <v>0</v>
      </c>
      <c r="Z433" s="351">
        <v>0</v>
      </c>
      <c r="AA433" s="351">
        <v>0</v>
      </c>
      <c r="AB433" s="351">
        <v>0</v>
      </c>
      <c r="AC433" s="351">
        <v>0</v>
      </c>
      <c r="AD433" s="351">
        <v>0</v>
      </c>
      <c r="AE433" s="351">
        <v>0</v>
      </c>
      <c r="AF433" s="351">
        <v>0</v>
      </c>
      <c r="AG433" s="351">
        <v>0</v>
      </c>
      <c r="AH433" s="351">
        <v>0</v>
      </c>
      <c r="AI433" s="351">
        <v>0</v>
      </c>
      <c r="AJ433" s="351">
        <f t="shared" si="192"/>
        <v>107401.14</v>
      </c>
      <c r="AK433" s="351">
        <f t="shared" si="193"/>
        <v>53700.57</v>
      </c>
      <c r="AL433" s="351">
        <v>0</v>
      </c>
      <c r="AM433" s="352"/>
      <c r="AN433" s="352"/>
    </row>
    <row r="434" spans="1:40" s="19" customFormat="1" ht="9" hidden="1" customHeight="1">
      <c r="A434" s="349">
        <v>74</v>
      </c>
      <c r="B434" s="118" t="s">
        <v>692</v>
      </c>
      <c r="C434" s="343">
        <v>3322.6</v>
      </c>
      <c r="D434" s="343"/>
      <c r="E434" s="257"/>
      <c r="F434" s="257"/>
      <c r="G434" s="123">
        <v>3197306</v>
      </c>
      <c r="H434" s="348">
        <f t="shared" ref="H434:H491" si="194">I434+K434+M434+O434+Q434+S434</f>
        <v>0</v>
      </c>
      <c r="I434" s="129">
        <v>0</v>
      </c>
      <c r="J434" s="129">
        <v>0</v>
      </c>
      <c r="K434" s="129">
        <v>0</v>
      </c>
      <c r="L434" s="129">
        <v>0</v>
      </c>
      <c r="M434" s="129">
        <v>0</v>
      </c>
      <c r="N434" s="348">
        <v>0</v>
      </c>
      <c r="O434" s="348">
        <v>0</v>
      </c>
      <c r="P434" s="348">
        <v>0</v>
      </c>
      <c r="Q434" s="348">
        <v>0</v>
      </c>
      <c r="R434" s="348">
        <v>0</v>
      </c>
      <c r="S434" s="348">
        <v>0</v>
      </c>
      <c r="T434" s="44">
        <v>0</v>
      </c>
      <c r="U434" s="348">
        <v>0</v>
      </c>
      <c r="V434" s="257" t="s">
        <v>997</v>
      </c>
      <c r="W434" s="351">
        <v>959</v>
      </c>
      <c r="X434" s="348">
        <f t="shared" ref="X434:X491" si="195">ROUND(G434/100*95.5,2)</f>
        <v>3053427.23</v>
      </c>
      <c r="Y434" s="351">
        <v>0</v>
      </c>
      <c r="Z434" s="351">
        <v>0</v>
      </c>
      <c r="AA434" s="351">
        <v>0</v>
      </c>
      <c r="AB434" s="351">
        <v>0</v>
      </c>
      <c r="AC434" s="351">
        <v>0</v>
      </c>
      <c r="AD434" s="351">
        <v>0</v>
      </c>
      <c r="AE434" s="351">
        <v>0</v>
      </c>
      <c r="AF434" s="351">
        <v>0</v>
      </c>
      <c r="AG434" s="351">
        <v>0</v>
      </c>
      <c r="AH434" s="351">
        <v>0</v>
      </c>
      <c r="AI434" s="351">
        <v>0</v>
      </c>
      <c r="AJ434" s="351">
        <f t="shared" ref="AJ434:AJ491" si="196">ROUND(G434/100*3,2)</f>
        <v>95919.18</v>
      </c>
      <c r="AK434" s="351">
        <f t="shared" ref="AK434:AK491" si="197">ROUND(G434/100*1.5,2)</f>
        <v>47959.59</v>
      </c>
      <c r="AL434" s="351">
        <v>0</v>
      </c>
      <c r="AM434" s="352"/>
      <c r="AN434" s="352"/>
    </row>
    <row r="435" spans="1:40" s="19" customFormat="1" ht="9" hidden="1" customHeight="1">
      <c r="A435" s="349">
        <v>75</v>
      </c>
      <c r="B435" s="118" t="s">
        <v>693</v>
      </c>
      <c r="C435" s="343">
        <v>3366.3</v>
      </c>
      <c r="D435" s="343"/>
      <c r="E435" s="257"/>
      <c r="F435" s="257"/>
      <c r="G435" s="123">
        <v>3187304</v>
      </c>
      <c r="H435" s="348">
        <f t="shared" si="194"/>
        <v>0</v>
      </c>
      <c r="I435" s="129">
        <v>0</v>
      </c>
      <c r="J435" s="129">
        <v>0</v>
      </c>
      <c r="K435" s="129">
        <v>0</v>
      </c>
      <c r="L435" s="129">
        <v>0</v>
      </c>
      <c r="M435" s="129">
        <v>0</v>
      </c>
      <c r="N435" s="348">
        <v>0</v>
      </c>
      <c r="O435" s="348">
        <v>0</v>
      </c>
      <c r="P435" s="348">
        <v>0</v>
      </c>
      <c r="Q435" s="348">
        <v>0</v>
      </c>
      <c r="R435" s="348">
        <v>0</v>
      </c>
      <c r="S435" s="348">
        <v>0</v>
      </c>
      <c r="T435" s="44">
        <v>0</v>
      </c>
      <c r="U435" s="348">
        <v>0</v>
      </c>
      <c r="V435" s="257" t="s">
        <v>997</v>
      </c>
      <c r="W435" s="351">
        <v>956</v>
      </c>
      <c r="X435" s="348">
        <f t="shared" si="195"/>
        <v>3043875.32</v>
      </c>
      <c r="Y435" s="351">
        <v>0</v>
      </c>
      <c r="Z435" s="351">
        <v>0</v>
      </c>
      <c r="AA435" s="351">
        <v>0</v>
      </c>
      <c r="AB435" s="351">
        <v>0</v>
      </c>
      <c r="AC435" s="351">
        <v>0</v>
      </c>
      <c r="AD435" s="351">
        <v>0</v>
      </c>
      <c r="AE435" s="351">
        <v>0</v>
      </c>
      <c r="AF435" s="351">
        <v>0</v>
      </c>
      <c r="AG435" s="351">
        <v>0</v>
      </c>
      <c r="AH435" s="351">
        <v>0</v>
      </c>
      <c r="AI435" s="351">
        <v>0</v>
      </c>
      <c r="AJ435" s="351">
        <f t="shared" si="196"/>
        <v>95619.12</v>
      </c>
      <c r="AK435" s="351">
        <f t="shared" si="197"/>
        <v>47809.56</v>
      </c>
      <c r="AL435" s="351">
        <v>0</v>
      </c>
      <c r="AM435" s="352"/>
      <c r="AN435" s="352"/>
    </row>
    <row r="436" spans="1:40" s="19" customFormat="1" ht="9" hidden="1" customHeight="1">
      <c r="A436" s="349">
        <v>76</v>
      </c>
      <c r="B436" s="118" t="s">
        <v>694</v>
      </c>
      <c r="C436" s="343">
        <v>5621.6</v>
      </c>
      <c r="D436" s="343"/>
      <c r="E436" s="257"/>
      <c r="F436" s="257"/>
      <c r="G436" s="123">
        <v>5317730</v>
      </c>
      <c r="H436" s="348">
        <f t="shared" si="194"/>
        <v>0</v>
      </c>
      <c r="I436" s="129">
        <v>0</v>
      </c>
      <c r="J436" s="129">
        <v>0</v>
      </c>
      <c r="K436" s="129">
        <v>0</v>
      </c>
      <c r="L436" s="129">
        <v>0</v>
      </c>
      <c r="M436" s="129">
        <v>0</v>
      </c>
      <c r="N436" s="348">
        <v>0</v>
      </c>
      <c r="O436" s="348">
        <v>0</v>
      </c>
      <c r="P436" s="348">
        <v>0</v>
      </c>
      <c r="Q436" s="348">
        <v>0</v>
      </c>
      <c r="R436" s="348">
        <v>0</v>
      </c>
      <c r="S436" s="348">
        <v>0</v>
      </c>
      <c r="T436" s="44">
        <v>0</v>
      </c>
      <c r="U436" s="348">
        <v>0</v>
      </c>
      <c r="V436" s="257" t="s">
        <v>997</v>
      </c>
      <c r="W436" s="351">
        <v>1595</v>
      </c>
      <c r="X436" s="348">
        <f t="shared" si="195"/>
        <v>5078432.1500000004</v>
      </c>
      <c r="Y436" s="351">
        <v>0</v>
      </c>
      <c r="Z436" s="351">
        <v>0</v>
      </c>
      <c r="AA436" s="351">
        <v>0</v>
      </c>
      <c r="AB436" s="351">
        <v>0</v>
      </c>
      <c r="AC436" s="351">
        <v>0</v>
      </c>
      <c r="AD436" s="351">
        <v>0</v>
      </c>
      <c r="AE436" s="351">
        <v>0</v>
      </c>
      <c r="AF436" s="351">
        <v>0</v>
      </c>
      <c r="AG436" s="351">
        <v>0</v>
      </c>
      <c r="AH436" s="351">
        <v>0</v>
      </c>
      <c r="AI436" s="351">
        <v>0</v>
      </c>
      <c r="AJ436" s="351">
        <f t="shared" si="196"/>
        <v>159531.9</v>
      </c>
      <c r="AK436" s="351">
        <f t="shared" si="197"/>
        <v>79765.95</v>
      </c>
      <c r="AL436" s="351">
        <v>0</v>
      </c>
      <c r="AM436" s="352"/>
      <c r="AN436" s="352"/>
    </row>
    <row r="437" spans="1:40" s="19" customFormat="1" ht="9" hidden="1" customHeight="1">
      <c r="A437" s="349">
        <v>77</v>
      </c>
      <c r="B437" s="118" t="s">
        <v>695</v>
      </c>
      <c r="C437" s="343">
        <v>5548.2</v>
      </c>
      <c r="D437" s="343"/>
      <c r="E437" s="257"/>
      <c r="F437" s="257"/>
      <c r="G437" s="123">
        <v>5951190</v>
      </c>
      <c r="H437" s="348">
        <f t="shared" si="194"/>
        <v>0</v>
      </c>
      <c r="I437" s="129">
        <v>0</v>
      </c>
      <c r="J437" s="129">
        <v>0</v>
      </c>
      <c r="K437" s="129">
        <v>0</v>
      </c>
      <c r="L437" s="129">
        <v>0</v>
      </c>
      <c r="M437" s="129">
        <v>0</v>
      </c>
      <c r="N437" s="348">
        <v>0</v>
      </c>
      <c r="O437" s="348">
        <v>0</v>
      </c>
      <c r="P437" s="348">
        <v>0</v>
      </c>
      <c r="Q437" s="348">
        <v>0</v>
      </c>
      <c r="R437" s="348">
        <v>0</v>
      </c>
      <c r="S437" s="348">
        <v>0</v>
      </c>
      <c r="T437" s="44">
        <v>0</v>
      </c>
      <c r="U437" s="348">
        <v>0</v>
      </c>
      <c r="V437" s="257" t="s">
        <v>997</v>
      </c>
      <c r="W437" s="351">
        <v>1785</v>
      </c>
      <c r="X437" s="348">
        <f t="shared" si="195"/>
        <v>5683386.4500000002</v>
      </c>
      <c r="Y437" s="351">
        <v>0</v>
      </c>
      <c r="Z437" s="351">
        <v>0</v>
      </c>
      <c r="AA437" s="351">
        <v>0</v>
      </c>
      <c r="AB437" s="351">
        <v>0</v>
      </c>
      <c r="AC437" s="351">
        <v>0</v>
      </c>
      <c r="AD437" s="351">
        <v>0</v>
      </c>
      <c r="AE437" s="351">
        <v>0</v>
      </c>
      <c r="AF437" s="351">
        <v>0</v>
      </c>
      <c r="AG437" s="351">
        <v>0</v>
      </c>
      <c r="AH437" s="351">
        <v>0</v>
      </c>
      <c r="AI437" s="351">
        <v>0</v>
      </c>
      <c r="AJ437" s="351">
        <f t="shared" si="196"/>
        <v>178535.7</v>
      </c>
      <c r="AK437" s="351">
        <f t="shared" si="197"/>
        <v>89267.85</v>
      </c>
      <c r="AL437" s="351">
        <v>0</v>
      </c>
      <c r="AM437" s="352"/>
      <c r="AN437" s="352"/>
    </row>
    <row r="438" spans="1:40" s="19" customFormat="1" ht="9" hidden="1" customHeight="1">
      <c r="A438" s="349">
        <v>78</v>
      </c>
      <c r="B438" s="118" t="s">
        <v>696</v>
      </c>
      <c r="C438" s="343">
        <v>3322.6</v>
      </c>
      <c r="D438" s="343"/>
      <c r="E438" s="257"/>
      <c r="F438" s="257"/>
      <c r="G438" s="123">
        <v>3123958</v>
      </c>
      <c r="H438" s="348">
        <f t="shared" si="194"/>
        <v>0</v>
      </c>
      <c r="I438" s="129">
        <v>0</v>
      </c>
      <c r="J438" s="129">
        <v>0</v>
      </c>
      <c r="K438" s="129">
        <v>0</v>
      </c>
      <c r="L438" s="129">
        <v>0</v>
      </c>
      <c r="M438" s="129">
        <v>0</v>
      </c>
      <c r="N438" s="348">
        <v>0</v>
      </c>
      <c r="O438" s="348">
        <v>0</v>
      </c>
      <c r="P438" s="348">
        <v>0</v>
      </c>
      <c r="Q438" s="348">
        <v>0</v>
      </c>
      <c r="R438" s="348">
        <v>0</v>
      </c>
      <c r="S438" s="348">
        <v>0</v>
      </c>
      <c r="T438" s="44">
        <v>0</v>
      </c>
      <c r="U438" s="348">
        <v>0</v>
      </c>
      <c r="V438" s="257" t="s">
        <v>997</v>
      </c>
      <c r="W438" s="351">
        <v>937</v>
      </c>
      <c r="X438" s="348">
        <f t="shared" si="195"/>
        <v>2983379.89</v>
      </c>
      <c r="Y438" s="351">
        <v>0</v>
      </c>
      <c r="Z438" s="351">
        <v>0</v>
      </c>
      <c r="AA438" s="351">
        <v>0</v>
      </c>
      <c r="AB438" s="351">
        <v>0</v>
      </c>
      <c r="AC438" s="351">
        <v>0</v>
      </c>
      <c r="AD438" s="351">
        <v>0</v>
      </c>
      <c r="AE438" s="351">
        <v>0</v>
      </c>
      <c r="AF438" s="351">
        <v>0</v>
      </c>
      <c r="AG438" s="351">
        <v>0</v>
      </c>
      <c r="AH438" s="351">
        <v>0</v>
      </c>
      <c r="AI438" s="351">
        <v>0</v>
      </c>
      <c r="AJ438" s="351">
        <f t="shared" si="196"/>
        <v>93718.74</v>
      </c>
      <c r="AK438" s="351">
        <f t="shared" si="197"/>
        <v>46859.37</v>
      </c>
      <c r="AL438" s="351">
        <v>0</v>
      </c>
      <c r="AM438" s="352"/>
      <c r="AN438" s="352"/>
    </row>
    <row r="439" spans="1:40" s="19" customFormat="1" ht="9" hidden="1" customHeight="1">
      <c r="A439" s="349">
        <v>79</v>
      </c>
      <c r="B439" s="118" t="s">
        <v>697</v>
      </c>
      <c r="C439" s="343">
        <v>3259.1</v>
      </c>
      <c r="D439" s="343"/>
      <c r="E439" s="257"/>
      <c r="F439" s="257"/>
      <c r="G439" s="123">
        <v>3042608.4</v>
      </c>
      <c r="H439" s="348">
        <f t="shared" si="194"/>
        <v>0</v>
      </c>
      <c r="I439" s="129">
        <v>0</v>
      </c>
      <c r="J439" s="129">
        <v>0</v>
      </c>
      <c r="K439" s="129">
        <v>0</v>
      </c>
      <c r="L439" s="129">
        <v>0</v>
      </c>
      <c r="M439" s="129">
        <v>0</v>
      </c>
      <c r="N439" s="348">
        <v>0</v>
      </c>
      <c r="O439" s="348">
        <v>0</v>
      </c>
      <c r="P439" s="348">
        <v>0</v>
      </c>
      <c r="Q439" s="348">
        <v>0</v>
      </c>
      <c r="R439" s="348">
        <v>0</v>
      </c>
      <c r="S439" s="348">
        <v>0</v>
      </c>
      <c r="T439" s="44">
        <v>0</v>
      </c>
      <c r="U439" s="348">
        <v>0</v>
      </c>
      <c r="V439" s="257" t="s">
        <v>997</v>
      </c>
      <c r="W439" s="351">
        <v>912.6</v>
      </c>
      <c r="X439" s="348">
        <f t="shared" si="195"/>
        <v>2905691.02</v>
      </c>
      <c r="Y439" s="351">
        <v>0</v>
      </c>
      <c r="Z439" s="351">
        <v>0</v>
      </c>
      <c r="AA439" s="351">
        <v>0</v>
      </c>
      <c r="AB439" s="351">
        <v>0</v>
      </c>
      <c r="AC439" s="351">
        <v>0</v>
      </c>
      <c r="AD439" s="351">
        <v>0</v>
      </c>
      <c r="AE439" s="351">
        <v>0</v>
      </c>
      <c r="AF439" s="351">
        <v>0</v>
      </c>
      <c r="AG439" s="351">
        <v>0</v>
      </c>
      <c r="AH439" s="351">
        <v>0</v>
      </c>
      <c r="AI439" s="351">
        <v>0</v>
      </c>
      <c r="AJ439" s="351">
        <f t="shared" si="196"/>
        <v>91278.25</v>
      </c>
      <c r="AK439" s="351">
        <f t="shared" si="197"/>
        <v>45639.13</v>
      </c>
      <c r="AL439" s="351">
        <v>0</v>
      </c>
      <c r="AM439" s="352"/>
      <c r="AN439" s="352"/>
    </row>
    <row r="440" spans="1:40" s="19" customFormat="1" ht="9" hidden="1" customHeight="1">
      <c r="A440" s="349">
        <v>80</v>
      </c>
      <c r="B440" s="118" t="s">
        <v>698</v>
      </c>
      <c r="C440" s="343">
        <v>3941.5</v>
      </c>
      <c r="D440" s="343"/>
      <c r="E440" s="257"/>
      <c r="F440" s="257"/>
      <c r="G440" s="123">
        <v>3640728</v>
      </c>
      <c r="H440" s="348">
        <f t="shared" si="194"/>
        <v>0</v>
      </c>
      <c r="I440" s="129">
        <v>0</v>
      </c>
      <c r="J440" s="129">
        <v>0</v>
      </c>
      <c r="K440" s="129">
        <v>0</v>
      </c>
      <c r="L440" s="129">
        <v>0</v>
      </c>
      <c r="M440" s="129">
        <v>0</v>
      </c>
      <c r="N440" s="348">
        <v>0</v>
      </c>
      <c r="O440" s="348">
        <v>0</v>
      </c>
      <c r="P440" s="348">
        <v>0</v>
      </c>
      <c r="Q440" s="348">
        <v>0</v>
      </c>
      <c r="R440" s="348">
        <v>0</v>
      </c>
      <c r="S440" s="348">
        <v>0</v>
      </c>
      <c r="T440" s="44">
        <v>0</v>
      </c>
      <c r="U440" s="348">
        <v>0</v>
      </c>
      <c r="V440" s="257" t="s">
        <v>997</v>
      </c>
      <c r="W440" s="351">
        <v>1092</v>
      </c>
      <c r="X440" s="348">
        <f t="shared" si="195"/>
        <v>3476895.24</v>
      </c>
      <c r="Y440" s="351">
        <v>0</v>
      </c>
      <c r="Z440" s="351">
        <v>0</v>
      </c>
      <c r="AA440" s="351">
        <v>0</v>
      </c>
      <c r="AB440" s="351">
        <v>0</v>
      </c>
      <c r="AC440" s="351">
        <v>0</v>
      </c>
      <c r="AD440" s="351">
        <v>0</v>
      </c>
      <c r="AE440" s="351">
        <v>0</v>
      </c>
      <c r="AF440" s="351">
        <v>0</v>
      </c>
      <c r="AG440" s="351">
        <v>0</v>
      </c>
      <c r="AH440" s="351">
        <v>0</v>
      </c>
      <c r="AI440" s="351">
        <v>0</v>
      </c>
      <c r="AJ440" s="351">
        <f t="shared" si="196"/>
        <v>109221.84</v>
      </c>
      <c r="AK440" s="351">
        <f t="shared" si="197"/>
        <v>54610.92</v>
      </c>
      <c r="AL440" s="351">
        <v>0</v>
      </c>
      <c r="AM440" s="352"/>
      <c r="AN440" s="352"/>
    </row>
    <row r="441" spans="1:40" s="19" customFormat="1" ht="9" hidden="1" customHeight="1">
      <c r="A441" s="349">
        <v>81</v>
      </c>
      <c r="B441" s="118" t="s">
        <v>699</v>
      </c>
      <c r="C441" s="343">
        <v>4568.8999999999996</v>
      </c>
      <c r="D441" s="343"/>
      <c r="E441" s="257"/>
      <c r="F441" s="257"/>
      <c r="G441" s="123">
        <v>4209175</v>
      </c>
      <c r="H441" s="348">
        <f t="shared" si="194"/>
        <v>0</v>
      </c>
      <c r="I441" s="129">
        <v>0</v>
      </c>
      <c r="J441" s="129">
        <v>0</v>
      </c>
      <c r="K441" s="129">
        <v>0</v>
      </c>
      <c r="L441" s="129">
        <v>0</v>
      </c>
      <c r="M441" s="129">
        <v>0</v>
      </c>
      <c r="N441" s="348">
        <v>0</v>
      </c>
      <c r="O441" s="348">
        <v>0</v>
      </c>
      <c r="P441" s="348">
        <v>0</v>
      </c>
      <c r="Q441" s="348">
        <v>0</v>
      </c>
      <c r="R441" s="348">
        <v>0</v>
      </c>
      <c r="S441" s="348">
        <v>0</v>
      </c>
      <c r="T441" s="44">
        <v>0</v>
      </c>
      <c r="U441" s="348">
        <v>0</v>
      </c>
      <c r="V441" s="257" t="s">
        <v>997</v>
      </c>
      <c r="W441" s="351">
        <v>1262.5</v>
      </c>
      <c r="X441" s="348">
        <f>ROUND(G441/100*95.5-0.01,2)</f>
        <v>4019762.12</v>
      </c>
      <c r="Y441" s="351">
        <v>0</v>
      </c>
      <c r="Z441" s="351">
        <v>0</v>
      </c>
      <c r="AA441" s="351">
        <v>0</v>
      </c>
      <c r="AB441" s="351">
        <v>0</v>
      </c>
      <c r="AC441" s="351">
        <v>0</v>
      </c>
      <c r="AD441" s="351">
        <v>0</v>
      </c>
      <c r="AE441" s="351">
        <v>0</v>
      </c>
      <c r="AF441" s="351">
        <v>0</v>
      </c>
      <c r="AG441" s="351">
        <v>0</v>
      </c>
      <c r="AH441" s="351">
        <v>0</v>
      </c>
      <c r="AI441" s="351">
        <v>0</v>
      </c>
      <c r="AJ441" s="351">
        <f t="shared" si="196"/>
        <v>126275.25</v>
      </c>
      <c r="AK441" s="351">
        <f t="shared" si="197"/>
        <v>63137.63</v>
      </c>
      <c r="AL441" s="351">
        <v>0</v>
      </c>
      <c r="AM441" s="352"/>
      <c r="AN441" s="352"/>
    </row>
    <row r="442" spans="1:40" s="19" customFormat="1" ht="9" hidden="1" customHeight="1">
      <c r="A442" s="349">
        <v>82</v>
      </c>
      <c r="B442" s="118" t="s">
        <v>700</v>
      </c>
      <c r="C442" s="343">
        <v>7601.2</v>
      </c>
      <c r="D442" s="343"/>
      <c r="E442" s="257"/>
      <c r="F442" s="257"/>
      <c r="G442" s="123">
        <v>3970794</v>
      </c>
      <c r="H442" s="348">
        <f t="shared" si="194"/>
        <v>0</v>
      </c>
      <c r="I442" s="129">
        <v>0</v>
      </c>
      <c r="J442" s="129">
        <v>0</v>
      </c>
      <c r="K442" s="129">
        <v>0</v>
      </c>
      <c r="L442" s="129">
        <v>0</v>
      </c>
      <c r="M442" s="129">
        <v>0</v>
      </c>
      <c r="N442" s="348">
        <v>0</v>
      </c>
      <c r="O442" s="348">
        <v>0</v>
      </c>
      <c r="P442" s="348">
        <v>0</v>
      </c>
      <c r="Q442" s="348">
        <v>0</v>
      </c>
      <c r="R442" s="348">
        <v>0</v>
      </c>
      <c r="S442" s="348">
        <v>0</v>
      </c>
      <c r="T442" s="44">
        <v>0</v>
      </c>
      <c r="U442" s="348">
        <v>0</v>
      </c>
      <c r="V442" s="257" t="s">
        <v>997</v>
      </c>
      <c r="W442" s="351">
        <v>1191</v>
      </c>
      <c r="X442" s="348">
        <f t="shared" si="195"/>
        <v>3792108.27</v>
      </c>
      <c r="Y442" s="351">
        <v>0</v>
      </c>
      <c r="Z442" s="351">
        <v>0</v>
      </c>
      <c r="AA442" s="351">
        <v>0</v>
      </c>
      <c r="AB442" s="351">
        <v>0</v>
      </c>
      <c r="AC442" s="351">
        <v>0</v>
      </c>
      <c r="AD442" s="351">
        <v>0</v>
      </c>
      <c r="AE442" s="351">
        <v>0</v>
      </c>
      <c r="AF442" s="351">
        <v>0</v>
      </c>
      <c r="AG442" s="351">
        <v>0</v>
      </c>
      <c r="AH442" s="351">
        <v>0</v>
      </c>
      <c r="AI442" s="351">
        <v>0</v>
      </c>
      <c r="AJ442" s="351">
        <f t="shared" si="196"/>
        <v>119123.82</v>
      </c>
      <c r="AK442" s="351">
        <f t="shared" si="197"/>
        <v>59561.91</v>
      </c>
      <c r="AL442" s="351">
        <v>0</v>
      </c>
      <c r="AM442" s="352"/>
      <c r="AN442" s="352"/>
    </row>
    <row r="443" spans="1:40" s="19" customFormat="1" ht="9" hidden="1" customHeight="1">
      <c r="A443" s="349">
        <v>83</v>
      </c>
      <c r="B443" s="118" t="s">
        <v>701</v>
      </c>
      <c r="C443" s="343">
        <v>9599</v>
      </c>
      <c r="D443" s="343"/>
      <c r="E443" s="257"/>
      <c r="F443" s="257"/>
      <c r="G443" s="123">
        <v>5384410</v>
      </c>
      <c r="H443" s="348">
        <f t="shared" si="194"/>
        <v>0</v>
      </c>
      <c r="I443" s="129">
        <v>0</v>
      </c>
      <c r="J443" s="129">
        <v>0</v>
      </c>
      <c r="K443" s="129">
        <v>0</v>
      </c>
      <c r="L443" s="129">
        <v>0</v>
      </c>
      <c r="M443" s="129">
        <v>0</v>
      </c>
      <c r="N443" s="348">
        <v>0</v>
      </c>
      <c r="O443" s="348">
        <v>0</v>
      </c>
      <c r="P443" s="348">
        <v>0</v>
      </c>
      <c r="Q443" s="348">
        <v>0</v>
      </c>
      <c r="R443" s="348">
        <v>0</v>
      </c>
      <c r="S443" s="348">
        <v>0</v>
      </c>
      <c r="T443" s="44">
        <v>0</v>
      </c>
      <c r="U443" s="348">
        <v>0</v>
      </c>
      <c r="V443" s="257" t="s">
        <v>997</v>
      </c>
      <c r="W443" s="351">
        <v>1615</v>
      </c>
      <c r="X443" s="348">
        <f t="shared" si="195"/>
        <v>5142111.55</v>
      </c>
      <c r="Y443" s="351">
        <v>0</v>
      </c>
      <c r="Z443" s="351">
        <v>0</v>
      </c>
      <c r="AA443" s="351">
        <v>0</v>
      </c>
      <c r="AB443" s="351">
        <v>0</v>
      </c>
      <c r="AC443" s="351">
        <v>0</v>
      </c>
      <c r="AD443" s="351">
        <v>0</v>
      </c>
      <c r="AE443" s="351">
        <v>0</v>
      </c>
      <c r="AF443" s="351">
        <v>0</v>
      </c>
      <c r="AG443" s="351">
        <v>0</v>
      </c>
      <c r="AH443" s="351">
        <v>0</v>
      </c>
      <c r="AI443" s="351">
        <v>0</v>
      </c>
      <c r="AJ443" s="351">
        <f t="shared" si="196"/>
        <v>161532.29999999999</v>
      </c>
      <c r="AK443" s="351">
        <f t="shared" si="197"/>
        <v>80766.149999999994</v>
      </c>
      <c r="AL443" s="351">
        <v>0</v>
      </c>
      <c r="AM443" s="352"/>
      <c r="AN443" s="352"/>
    </row>
    <row r="444" spans="1:40" s="19" customFormat="1" ht="9" hidden="1" customHeight="1">
      <c r="A444" s="349">
        <v>84</v>
      </c>
      <c r="B444" s="118" t="s">
        <v>702</v>
      </c>
      <c r="C444" s="343">
        <v>3316.2</v>
      </c>
      <c r="D444" s="343"/>
      <c r="E444" s="257"/>
      <c r="F444" s="257"/>
      <c r="G444" s="123">
        <v>2137094</v>
      </c>
      <c r="H444" s="348">
        <f t="shared" si="194"/>
        <v>0</v>
      </c>
      <c r="I444" s="129">
        <v>0</v>
      </c>
      <c r="J444" s="129">
        <v>0</v>
      </c>
      <c r="K444" s="129">
        <v>0</v>
      </c>
      <c r="L444" s="129">
        <v>0</v>
      </c>
      <c r="M444" s="129">
        <v>0</v>
      </c>
      <c r="N444" s="348">
        <v>0</v>
      </c>
      <c r="O444" s="348">
        <v>0</v>
      </c>
      <c r="P444" s="348">
        <v>0</v>
      </c>
      <c r="Q444" s="348">
        <v>0</v>
      </c>
      <c r="R444" s="348">
        <v>0</v>
      </c>
      <c r="S444" s="348">
        <v>0</v>
      </c>
      <c r="T444" s="44">
        <v>0</v>
      </c>
      <c r="U444" s="348">
        <v>0</v>
      </c>
      <c r="V444" s="257" t="s">
        <v>997</v>
      </c>
      <c r="W444" s="351">
        <v>641</v>
      </c>
      <c r="X444" s="348">
        <f t="shared" si="195"/>
        <v>2040924.77</v>
      </c>
      <c r="Y444" s="351">
        <v>0</v>
      </c>
      <c r="Z444" s="351">
        <v>0</v>
      </c>
      <c r="AA444" s="351">
        <v>0</v>
      </c>
      <c r="AB444" s="351">
        <v>0</v>
      </c>
      <c r="AC444" s="351">
        <v>0</v>
      </c>
      <c r="AD444" s="351">
        <v>0</v>
      </c>
      <c r="AE444" s="351">
        <v>0</v>
      </c>
      <c r="AF444" s="351">
        <v>0</v>
      </c>
      <c r="AG444" s="351">
        <v>0</v>
      </c>
      <c r="AH444" s="351">
        <v>0</v>
      </c>
      <c r="AI444" s="351">
        <v>0</v>
      </c>
      <c r="AJ444" s="351">
        <f t="shared" si="196"/>
        <v>64112.82</v>
      </c>
      <c r="AK444" s="351">
        <f t="shared" si="197"/>
        <v>32056.41</v>
      </c>
      <c r="AL444" s="351">
        <v>0</v>
      </c>
      <c r="AM444" s="352"/>
      <c r="AN444" s="352"/>
    </row>
    <row r="445" spans="1:40" s="19" customFormat="1" ht="9" hidden="1" customHeight="1">
      <c r="A445" s="349">
        <v>85</v>
      </c>
      <c r="B445" s="118" t="s">
        <v>703</v>
      </c>
      <c r="C445" s="343">
        <v>15749.4</v>
      </c>
      <c r="D445" s="343"/>
      <c r="E445" s="257"/>
      <c r="F445" s="257"/>
      <c r="G445" s="123">
        <v>9250183</v>
      </c>
      <c r="H445" s="348">
        <f t="shared" si="194"/>
        <v>0</v>
      </c>
      <c r="I445" s="129">
        <v>0</v>
      </c>
      <c r="J445" s="129">
        <v>0</v>
      </c>
      <c r="K445" s="129">
        <v>0</v>
      </c>
      <c r="L445" s="129">
        <v>0</v>
      </c>
      <c r="M445" s="129">
        <v>0</v>
      </c>
      <c r="N445" s="348">
        <v>0</v>
      </c>
      <c r="O445" s="348">
        <v>0</v>
      </c>
      <c r="P445" s="348">
        <v>0</v>
      </c>
      <c r="Q445" s="348">
        <v>0</v>
      </c>
      <c r="R445" s="348">
        <v>0</v>
      </c>
      <c r="S445" s="348">
        <v>0</v>
      </c>
      <c r="T445" s="44">
        <v>0</v>
      </c>
      <c r="U445" s="348">
        <v>0</v>
      </c>
      <c r="V445" s="257" t="s">
        <v>997</v>
      </c>
      <c r="W445" s="351">
        <v>2774.5</v>
      </c>
      <c r="X445" s="348">
        <f>ROUND(G445/100*95.5-0.01,2)</f>
        <v>8833924.7599999998</v>
      </c>
      <c r="Y445" s="351">
        <v>0</v>
      </c>
      <c r="Z445" s="351">
        <v>0</v>
      </c>
      <c r="AA445" s="351">
        <v>0</v>
      </c>
      <c r="AB445" s="351">
        <v>0</v>
      </c>
      <c r="AC445" s="351">
        <v>0</v>
      </c>
      <c r="AD445" s="351">
        <v>0</v>
      </c>
      <c r="AE445" s="351">
        <v>0</v>
      </c>
      <c r="AF445" s="351">
        <v>0</v>
      </c>
      <c r="AG445" s="351">
        <v>0</v>
      </c>
      <c r="AH445" s="351">
        <v>0</v>
      </c>
      <c r="AI445" s="351">
        <v>0</v>
      </c>
      <c r="AJ445" s="351">
        <f t="shared" si="196"/>
        <v>277505.49</v>
      </c>
      <c r="AK445" s="351">
        <f t="shared" si="197"/>
        <v>138752.75</v>
      </c>
      <c r="AL445" s="351">
        <v>0</v>
      </c>
      <c r="AM445" s="352"/>
      <c r="AN445" s="352"/>
    </row>
    <row r="446" spans="1:40" s="19" customFormat="1" ht="9" hidden="1" customHeight="1">
      <c r="A446" s="349">
        <v>86</v>
      </c>
      <c r="B446" s="118" t="s">
        <v>704</v>
      </c>
      <c r="C446" s="343">
        <v>10383.700000000001</v>
      </c>
      <c r="D446" s="343"/>
      <c r="E446" s="257"/>
      <c r="F446" s="257"/>
      <c r="G446" s="123">
        <v>6577982</v>
      </c>
      <c r="H446" s="348">
        <f t="shared" si="194"/>
        <v>0</v>
      </c>
      <c r="I446" s="129">
        <v>0</v>
      </c>
      <c r="J446" s="129">
        <v>0</v>
      </c>
      <c r="K446" s="129">
        <v>0</v>
      </c>
      <c r="L446" s="129">
        <v>0</v>
      </c>
      <c r="M446" s="129">
        <v>0</v>
      </c>
      <c r="N446" s="348">
        <v>0</v>
      </c>
      <c r="O446" s="348">
        <v>0</v>
      </c>
      <c r="P446" s="348">
        <v>0</v>
      </c>
      <c r="Q446" s="348">
        <v>0</v>
      </c>
      <c r="R446" s="348">
        <v>0</v>
      </c>
      <c r="S446" s="348">
        <v>0</v>
      </c>
      <c r="T446" s="44">
        <v>0</v>
      </c>
      <c r="U446" s="348">
        <v>0</v>
      </c>
      <c r="V446" s="257" t="s">
        <v>997</v>
      </c>
      <c r="W446" s="351">
        <v>1973</v>
      </c>
      <c r="X446" s="348">
        <f t="shared" si="195"/>
        <v>6281972.8099999996</v>
      </c>
      <c r="Y446" s="351">
        <v>0</v>
      </c>
      <c r="Z446" s="351">
        <v>0</v>
      </c>
      <c r="AA446" s="351">
        <v>0</v>
      </c>
      <c r="AB446" s="351">
        <v>0</v>
      </c>
      <c r="AC446" s="351">
        <v>0</v>
      </c>
      <c r="AD446" s="351">
        <v>0</v>
      </c>
      <c r="AE446" s="351">
        <v>0</v>
      </c>
      <c r="AF446" s="351">
        <v>0</v>
      </c>
      <c r="AG446" s="351">
        <v>0</v>
      </c>
      <c r="AH446" s="351">
        <v>0</v>
      </c>
      <c r="AI446" s="351">
        <v>0</v>
      </c>
      <c r="AJ446" s="351">
        <f t="shared" si="196"/>
        <v>197339.46</v>
      </c>
      <c r="AK446" s="351">
        <f t="shared" si="197"/>
        <v>98669.73</v>
      </c>
      <c r="AL446" s="351">
        <v>0</v>
      </c>
      <c r="AM446" s="352"/>
      <c r="AN446" s="352"/>
    </row>
    <row r="447" spans="1:40" s="19" customFormat="1" ht="9" hidden="1" customHeight="1">
      <c r="A447" s="349">
        <v>87</v>
      </c>
      <c r="B447" s="118" t="s">
        <v>705</v>
      </c>
      <c r="C447" s="343">
        <v>7792.2</v>
      </c>
      <c r="D447" s="343"/>
      <c r="E447" s="257"/>
      <c r="F447" s="257"/>
      <c r="G447" s="123">
        <v>7208108</v>
      </c>
      <c r="H447" s="348">
        <f t="shared" si="194"/>
        <v>0</v>
      </c>
      <c r="I447" s="129">
        <v>0</v>
      </c>
      <c r="J447" s="129">
        <v>0</v>
      </c>
      <c r="K447" s="129">
        <v>0</v>
      </c>
      <c r="L447" s="129">
        <v>0</v>
      </c>
      <c r="M447" s="129">
        <v>0</v>
      </c>
      <c r="N447" s="348">
        <v>0</v>
      </c>
      <c r="O447" s="348">
        <v>0</v>
      </c>
      <c r="P447" s="348">
        <v>0</v>
      </c>
      <c r="Q447" s="348">
        <v>0</v>
      </c>
      <c r="R447" s="348">
        <v>0</v>
      </c>
      <c r="S447" s="348">
        <v>0</v>
      </c>
      <c r="T447" s="44">
        <v>0</v>
      </c>
      <c r="U447" s="348">
        <v>0</v>
      </c>
      <c r="V447" s="257" t="s">
        <v>997</v>
      </c>
      <c r="W447" s="351">
        <v>2162</v>
      </c>
      <c r="X447" s="348">
        <f t="shared" si="195"/>
        <v>6883743.1399999997</v>
      </c>
      <c r="Y447" s="351">
        <v>0</v>
      </c>
      <c r="Z447" s="351">
        <v>0</v>
      </c>
      <c r="AA447" s="351">
        <v>0</v>
      </c>
      <c r="AB447" s="351">
        <v>0</v>
      </c>
      <c r="AC447" s="351">
        <v>0</v>
      </c>
      <c r="AD447" s="351">
        <v>0</v>
      </c>
      <c r="AE447" s="351">
        <v>0</v>
      </c>
      <c r="AF447" s="351">
        <v>0</v>
      </c>
      <c r="AG447" s="351">
        <v>0</v>
      </c>
      <c r="AH447" s="351">
        <v>0</v>
      </c>
      <c r="AI447" s="351">
        <v>0</v>
      </c>
      <c r="AJ447" s="351">
        <f t="shared" si="196"/>
        <v>216243.24</v>
      </c>
      <c r="AK447" s="351">
        <f t="shared" si="197"/>
        <v>108121.62</v>
      </c>
      <c r="AL447" s="351">
        <v>0</v>
      </c>
      <c r="AM447" s="352"/>
      <c r="AN447" s="352"/>
    </row>
    <row r="448" spans="1:40" s="19" customFormat="1" ht="9" hidden="1" customHeight="1">
      <c r="A448" s="349">
        <v>88</v>
      </c>
      <c r="B448" s="118" t="s">
        <v>706</v>
      </c>
      <c r="C448" s="343">
        <v>2127.6</v>
      </c>
      <c r="D448" s="343"/>
      <c r="E448" s="257"/>
      <c r="F448" s="257"/>
      <c r="G448" s="123">
        <v>1999399.8</v>
      </c>
      <c r="H448" s="348">
        <f t="shared" si="194"/>
        <v>0</v>
      </c>
      <c r="I448" s="129">
        <v>0</v>
      </c>
      <c r="J448" s="129">
        <v>0</v>
      </c>
      <c r="K448" s="129">
        <v>0</v>
      </c>
      <c r="L448" s="129">
        <v>0</v>
      </c>
      <c r="M448" s="129">
        <v>0</v>
      </c>
      <c r="N448" s="348">
        <v>0</v>
      </c>
      <c r="O448" s="348">
        <v>0</v>
      </c>
      <c r="P448" s="348">
        <v>0</v>
      </c>
      <c r="Q448" s="348">
        <v>0</v>
      </c>
      <c r="R448" s="348">
        <v>0</v>
      </c>
      <c r="S448" s="348">
        <v>0</v>
      </c>
      <c r="T448" s="44">
        <v>0</v>
      </c>
      <c r="U448" s="348">
        <v>0</v>
      </c>
      <c r="V448" s="257" t="s">
        <v>997</v>
      </c>
      <c r="W448" s="351">
        <v>599.70000000000005</v>
      </c>
      <c r="X448" s="348">
        <f t="shared" si="195"/>
        <v>1909426.81</v>
      </c>
      <c r="Y448" s="351">
        <v>0</v>
      </c>
      <c r="Z448" s="351">
        <v>0</v>
      </c>
      <c r="AA448" s="351">
        <v>0</v>
      </c>
      <c r="AB448" s="351">
        <v>0</v>
      </c>
      <c r="AC448" s="351">
        <v>0</v>
      </c>
      <c r="AD448" s="351">
        <v>0</v>
      </c>
      <c r="AE448" s="351">
        <v>0</v>
      </c>
      <c r="AF448" s="351">
        <v>0</v>
      </c>
      <c r="AG448" s="351">
        <v>0</v>
      </c>
      <c r="AH448" s="351">
        <v>0</v>
      </c>
      <c r="AI448" s="351">
        <v>0</v>
      </c>
      <c r="AJ448" s="351">
        <f t="shared" si="196"/>
        <v>59981.99</v>
      </c>
      <c r="AK448" s="351">
        <f t="shared" si="197"/>
        <v>29991</v>
      </c>
      <c r="AL448" s="351">
        <v>0</v>
      </c>
      <c r="AM448" s="352"/>
      <c r="AN448" s="352"/>
    </row>
    <row r="449" spans="1:40" s="19" customFormat="1" ht="9" hidden="1" customHeight="1">
      <c r="A449" s="349">
        <v>89</v>
      </c>
      <c r="B449" s="118" t="s">
        <v>707</v>
      </c>
      <c r="C449" s="343">
        <v>3368.5</v>
      </c>
      <c r="D449" s="343"/>
      <c r="E449" s="257"/>
      <c r="F449" s="257"/>
      <c r="G449" s="123">
        <v>3837434</v>
      </c>
      <c r="H449" s="348">
        <f t="shared" si="194"/>
        <v>0</v>
      </c>
      <c r="I449" s="129">
        <v>0</v>
      </c>
      <c r="J449" s="129">
        <v>0</v>
      </c>
      <c r="K449" s="129">
        <v>0</v>
      </c>
      <c r="L449" s="129">
        <v>0</v>
      </c>
      <c r="M449" s="129">
        <v>0</v>
      </c>
      <c r="N449" s="348">
        <v>0</v>
      </c>
      <c r="O449" s="348">
        <v>0</v>
      </c>
      <c r="P449" s="348">
        <v>0</v>
      </c>
      <c r="Q449" s="348">
        <v>0</v>
      </c>
      <c r="R449" s="348">
        <v>0</v>
      </c>
      <c r="S449" s="348">
        <v>0</v>
      </c>
      <c r="T449" s="44">
        <v>0</v>
      </c>
      <c r="U449" s="348">
        <v>0</v>
      </c>
      <c r="V449" s="257" t="s">
        <v>997</v>
      </c>
      <c r="W449" s="351">
        <v>1151</v>
      </c>
      <c r="X449" s="348">
        <f t="shared" si="195"/>
        <v>3664749.47</v>
      </c>
      <c r="Y449" s="351">
        <v>0</v>
      </c>
      <c r="Z449" s="351">
        <v>0</v>
      </c>
      <c r="AA449" s="351">
        <v>0</v>
      </c>
      <c r="AB449" s="351">
        <v>0</v>
      </c>
      <c r="AC449" s="351">
        <v>0</v>
      </c>
      <c r="AD449" s="351">
        <v>0</v>
      </c>
      <c r="AE449" s="351">
        <v>0</v>
      </c>
      <c r="AF449" s="351">
        <v>0</v>
      </c>
      <c r="AG449" s="351">
        <v>0</v>
      </c>
      <c r="AH449" s="351">
        <v>0</v>
      </c>
      <c r="AI449" s="351">
        <v>0</v>
      </c>
      <c r="AJ449" s="351">
        <f t="shared" si="196"/>
        <v>115123.02</v>
      </c>
      <c r="AK449" s="351">
        <f t="shared" si="197"/>
        <v>57561.51</v>
      </c>
      <c r="AL449" s="351">
        <v>0</v>
      </c>
      <c r="AM449" s="352"/>
      <c r="AN449" s="352"/>
    </row>
    <row r="450" spans="1:40" s="19" customFormat="1" ht="9" hidden="1" customHeight="1">
      <c r="A450" s="349">
        <v>90</v>
      </c>
      <c r="B450" s="118" t="s">
        <v>708</v>
      </c>
      <c r="C450" s="343">
        <v>1346.6</v>
      </c>
      <c r="D450" s="343"/>
      <c r="E450" s="257"/>
      <c r="F450" s="257"/>
      <c r="G450" s="123">
        <v>931392</v>
      </c>
      <c r="H450" s="348">
        <f t="shared" si="194"/>
        <v>0</v>
      </c>
      <c r="I450" s="129">
        <v>0</v>
      </c>
      <c r="J450" s="129">
        <v>0</v>
      </c>
      <c r="K450" s="129">
        <v>0</v>
      </c>
      <c r="L450" s="129">
        <v>0</v>
      </c>
      <c r="M450" s="129">
        <v>0</v>
      </c>
      <c r="N450" s="348">
        <v>0</v>
      </c>
      <c r="O450" s="348">
        <v>0</v>
      </c>
      <c r="P450" s="348">
        <v>0</v>
      </c>
      <c r="Q450" s="348">
        <v>0</v>
      </c>
      <c r="R450" s="348">
        <v>0</v>
      </c>
      <c r="S450" s="348">
        <v>0</v>
      </c>
      <c r="T450" s="44">
        <v>0</v>
      </c>
      <c r="U450" s="348">
        <v>0</v>
      </c>
      <c r="V450" s="257" t="s">
        <v>998</v>
      </c>
      <c r="W450" s="351">
        <v>288</v>
      </c>
      <c r="X450" s="348">
        <f t="shared" si="195"/>
        <v>889479.36</v>
      </c>
      <c r="Y450" s="351">
        <v>0</v>
      </c>
      <c r="Z450" s="351">
        <v>0</v>
      </c>
      <c r="AA450" s="351">
        <v>0</v>
      </c>
      <c r="AB450" s="351">
        <v>0</v>
      </c>
      <c r="AC450" s="351">
        <v>0</v>
      </c>
      <c r="AD450" s="351">
        <v>0</v>
      </c>
      <c r="AE450" s="351">
        <v>0</v>
      </c>
      <c r="AF450" s="351">
        <v>0</v>
      </c>
      <c r="AG450" s="351">
        <v>0</v>
      </c>
      <c r="AH450" s="351">
        <v>0</v>
      </c>
      <c r="AI450" s="351">
        <v>0</v>
      </c>
      <c r="AJ450" s="351">
        <f t="shared" si="196"/>
        <v>27941.759999999998</v>
      </c>
      <c r="AK450" s="351">
        <f t="shared" si="197"/>
        <v>13970.88</v>
      </c>
      <c r="AL450" s="351">
        <v>0</v>
      </c>
      <c r="AM450" s="352"/>
      <c r="AN450" s="352"/>
    </row>
    <row r="451" spans="1:40" s="19" customFormat="1" ht="9" hidden="1" customHeight="1">
      <c r="A451" s="349">
        <v>91</v>
      </c>
      <c r="B451" s="118" t="s">
        <v>709</v>
      </c>
      <c r="C451" s="343">
        <v>5183.1000000000004</v>
      </c>
      <c r="D451" s="343"/>
      <c r="E451" s="257"/>
      <c r="F451" s="257"/>
      <c r="G451" s="123">
        <v>5001000</v>
      </c>
      <c r="H451" s="348">
        <f t="shared" si="194"/>
        <v>0</v>
      </c>
      <c r="I451" s="129">
        <v>0</v>
      </c>
      <c r="J451" s="129">
        <v>0</v>
      </c>
      <c r="K451" s="129">
        <v>0</v>
      </c>
      <c r="L451" s="129">
        <v>0</v>
      </c>
      <c r="M451" s="129">
        <v>0</v>
      </c>
      <c r="N451" s="348">
        <v>0</v>
      </c>
      <c r="O451" s="348">
        <v>0</v>
      </c>
      <c r="P451" s="348">
        <v>0</v>
      </c>
      <c r="Q451" s="348">
        <v>0</v>
      </c>
      <c r="R451" s="348">
        <v>0</v>
      </c>
      <c r="S451" s="348">
        <v>0</v>
      </c>
      <c r="T451" s="44">
        <v>0</v>
      </c>
      <c r="U451" s="348">
        <v>0</v>
      </c>
      <c r="V451" s="257" t="s">
        <v>997</v>
      </c>
      <c r="W451" s="351">
        <v>1500</v>
      </c>
      <c r="X451" s="348">
        <f t="shared" si="195"/>
        <v>4775955</v>
      </c>
      <c r="Y451" s="351">
        <v>0</v>
      </c>
      <c r="Z451" s="351">
        <v>0</v>
      </c>
      <c r="AA451" s="351">
        <v>0</v>
      </c>
      <c r="AB451" s="351">
        <v>0</v>
      </c>
      <c r="AC451" s="351">
        <v>0</v>
      </c>
      <c r="AD451" s="351">
        <v>0</v>
      </c>
      <c r="AE451" s="351">
        <v>0</v>
      </c>
      <c r="AF451" s="351">
        <v>0</v>
      </c>
      <c r="AG451" s="351">
        <v>0</v>
      </c>
      <c r="AH451" s="351">
        <v>0</v>
      </c>
      <c r="AI451" s="351">
        <v>0</v>
      </c>
      <c r="AJ451" s="351">
        <f t="shared" si="196"/>
        <v>150030</v>
      </c>
      <c r="AK451" s="351">
        <f t="shared" si="197"/>
        <v>75015</v>
      </c>
      <c r="AL451" s="351">
        <v>0</v>
      </c>
      <c r="AM451" s="352"/>
      <c r="AN451" s="352"/>
    </row>
    <row r="452" spans="1:40" s="19" customFormat="1" ht="9" hidden="1" customHeight="1">
      <c r="A452" s="349">
        <v>92</v>
      </c>
      <c r="B452" s="118" t="s">
        <v>710</v>
      </c>
      <c r="C452" s="343">
        <v>2770.2</v>
      </c>
      <c r="D452" s="343"/>
      <c r="E452" s="257"/>
      <c r="F452" s="257"/>
      <c r="G452" s="123">
        <v>2633860</v>
      </c>
      <c r="H452" s="348">
        <f t="shared" si="194"/>
        <v>0</v>
      </c>
      <c r="I452" s="129">
        <v>0</v>
      </c>
      <c r="J452" s="129">
        <v>0</v>
      </c>
      <c r="K452" s="129">
        <v>0</v>
      </c>
      <c r="L452" s="129">
        <v>0</v>
      </c>
      <c r="M452" s="129">
        <v>0</v>
      </c>
      <c r="N452" s="348">
        <v>0</v>
      </c>
      <c r="O452" s="348">
        <v>0</v>
      </c>
      <c r="P452" s="348">
        <v>0</v>
      </c>
      <c r="Q452" s="348">
        <v>0</v>
      </c>
      <c r="R452" s="348">
        <v>0</v>
      </c>
      <c r="S452" s="348">
        <v>0</v>
      </c>
      <c r="T452" s="44">
        <v>0</v>
      </c>
      <c r="U452" s="348">
        <v>0</v>
      </c>
      <c r="V452" s="257" t="s">
        <v>997</v>
      </c>
      <c r="W452" s="351">
        <v>790</v>
      </c>
      <c r="X452" s="348">
        <f t="shared" si="195"/>
        <v>2515336.2999999998</v>
      </c>
      <c r="Y452" s="351">
        <v>0</v>
      </c>
      <c r="Z452" s="351">
        <v>0</v>
      </c>
      <c r="AA452" s="351">
        <v>0</v>
      </c>
      <c r="AB452" s="351">
        <v>0</v>
      </c>
      <c r="AC452" s="351">
        <v>0</v>
      </c>
      <c r="AD452" s="351">
        <v>0</v>
      </c>
      <c r="AE452" s="351">
        <v>0</v>
      </c>
      <c r="AF452" s="351">
        <v>0</v>
      </c>
      <c r="AG452" s="351">
        <v>0</v>
      </c>
      <c r="AH452" s="351">
        <v>0</v>
      </c>
      <c r="AI452" s="351">
        <v>0</v>
      </c>
      <c r="AJ452" s="351">
        <f t="shared" si="196"/>
        <v>79015.8</v>
      </c>
      <c r="AK452" s="351">
        <f t="shared" si="197"/>
        <v>39507.9</v>
      </c>
      <c r="AL452" s="351">
        <v>0</v>
      </c>
      <c r="AM452" s="352"/>
      <c r="AN452" s="352"/>
    </row>
    <row r="453" spans="1:40" s="19" customFormat="1" ht="9" hidden="1" customHeight="1">
      <c r="A453" s="349">
        <v>93</v>
      </c>
      <c r="B453" s="118" t="s">
        <v>711</v>
      </c>
      <c r="C453" s="343">
        <v>1780.35</v>
      </c>
      <c r="D453" s="343"/>
      <c r="E453" s="257"/>
      <c r="F453" s="257"/>
      <c r="G453" s="123">
        <v>2800644</v>
      </c>
      <c r="H453" s="348">
        <f t="shared" si="194"/>
        <v>0</v>
      </c>
      <c r="I453" s="129">
        <v>0</v>
      </c>
      <c r="J453" s="129">
        <v>0</v>
      </c>
      <c r="K453" s="129">
        <v>0</v>
      </c>
      <c r="L453" s="129">
        <v>0</v>
      </c>
      <c r="M453" s="129">
        <v>0</v>
      </c>
      <c r="N453" s="348">
        <v>0</v>
      </c>
      <c r="O453" s="348">
        <v>0</v>
      </c>
      <c r="P453" s="348">
        <v>0</v>
      </c>
      <c r="Q453" s="348">
        <v>0</v>
      </c>
      <c r="R453" s="348">
        <v>0</v>
      </c>
      <c r="S453" s="348">
        <v>0</v>
      </c>
      <c r="T453" s="44">
        <v>0</v>
      </c>
      <c r="U453" s="348">
        <v>0</v>
      </c>
      <c r="V453" s="257" t="s">
        <v>998</v>
      </c>
      <c r="W453" s="351">
        <v>866</v>
      </c>
      <c r="X453" s="348">
        <f t="shared" si="195"/>
        <v>2674615.02</v>
      </c>
      <c r="Y453" s="351">
        <v>0</v>
      </c>
      <c r="Z453" s="351">
        <v>0</v>
      </c>
      <c r="AA453" s="351">
        <v>0</v>
      </c>
      <c r="AB453" s="351">
        <v>0</v>
      </c>
      <c r="AC453" s="351">
        <v>0</v>
      </c>
      <c r="AD453" s="351">
        <v>0</v>
      </c>
      <c r="AE453" s="351">
        <v>0</v>
      </c>
      <c r="AF453" s="351">
        <v>0</v>
      </c>
      <c r="AG453" s="351">
        <v>0</v>
      </c>
      <c r="AH453" s="351">
        <v>0</v>
      </c>
      <c r="AI453" s="351">
        <v>0</v>
      </c>
      <c r="AJ453" s="351">
        <f t="shared" si="196"/>
        <v>84019.32</v>
      </c>
      <c r="AK453" s="351">
        <f t="shared" si="197"/>
        <v>42009.66</v>
      </c>
      <c r="AL453" s="351">
        <v>0</v>
      </c>
      <c r="AM453" s="352"/>
      <c r="AN453" s="352"/>
    </row>
    <row r="454" spans="1:40" s="19" customFormat="1" ht="9" hidden="1" customHeight="1">
      <c r="A454" s="349">
        <v>94</v>
      </c>
      <c r="B454" s="118" t="s">
        <v>712</v>
      </c>
      <c r="C454" s="343">
        <v>1437.33</v>
      </c>
      <c r="D454" s="343"/>
      <c r="E454" s="257"/>
      <c r="F454" s="257"/>
      <c r="G454" s="123">
        <v>1470294</v>
      </c>
      <c r="H454" s="348">
        <f t="shared" si="194"/>
        <v>0</v>
      </c>
      <c r="I454" s="129">
        <v>0</v>
      </c>
      <c r="J454" s="129">
        <v>0</v>
      </c>
      <c r="K454" s="129">
        <v>0</v>
      </c>
      <c r="L454" s="129">
        <v>0</v>
      </c>
      <c r="M454" s="129">
        <v>0</v>
      </c>
      <c r="N454" s="348">
        <v>0</v>
      </c>
      <c r="O454" s="348">
        <v>0</v>
      </c>
      <c r="P454" s="348">
        <v>0</v>
      </c>
      <c r="Q454" s="348">
        <v>0</v>
      </c>
      <c r="R454" s="348">
        <v>0</v>
      </c>
      <c r="S454" s="348">
        <v>0</v>
      </c>
      <c r="T454" s="44">
        <v>0</v>
      </c>
      <c r="U454" s="348">
        <v>0</v>
      </c>
      <c r="V454" s="257" t="s">
        <v>997</v>
      </c>
      <c r="W454" s="351">
        <v>441</v>
      </c>
      <c r="X454" s="348">
        <f t="shared" si="195"/>
        <v>1404130.77</v>
      </c>
      <c r="Y454" s="351">
        <v>0</v>
      </c>
      <c r="Z454" s="351">
        <v>0</v>
      </c>
      <c r="AA454" s="351">
        <v>0</v>
      </c>
      <c r="AB454" s="351">
        <v>0</v>
      </c>
      <c r="AC454" s="351">
        <v>0</v>
      </c>
      <c r="AD454" s="351">
        <v>0</v>
      </c>
      <c r="AE454" s="351">
        <v>0</v>
      </c>
      <c r="AF454" s="351">
        <v>0</v>
      </c>
      <c r="AG454" s="351">
        <v>0</v>
      </c>
      <c r="AH454" s="351">
        <v>0</v>
      </c>
      <c r="AI454" s="351">
        <v>0</v>
      </c>
      <c r="AJ454" s="351">
        <f t="shared" si="196"/>
        <v>44108.82</v>
      </c>
      <c r="AK454" s="351">
        <f t="shared" si="197"/>
        <v>22054.41</v>
      </c>
      <c r="AL454" s="351">
        <v>0</v>
      </c>
      <c r="AM454" s="352"/>
      <c r="AN454" s="352"/>
    </row>
    <row r="455" spans="1:40" s="19" customFormat="1" ht="9" hidden="1" customHeight="1">
      <c r="A455" s="349">
        <v>95</v>
      </c>
      <c r="B455" s="118" t="s">
        <v>713</v>
      </c>
      <c r="C455" s="343">
        <v>3423.5</v>
      </c>
      <c r="D455" s="343"/>
      <c r="E455" s="257"/>
      <c r="F455" s="257"/>
      <c r="G455" s="123">
        <v>2973928</v>
      </c>
      <c r="H455" s="348">
        <f t="shared" si="194"/>
        <v>0</v>
      </c>
      <c r="I455" s="129">
        <v>0</v>
      </c>
      <c r="J455" s="129">
        <v>0</v>
      </c>
      <c r="K455" s="129">
        <v>0</v>
      </c>
      <c r="L455" s="129">
        <v>0</v>
      </c>
      <c r="M455" s="129">
        <v>0</v>
      </c>
      <c r="N455" s="348">
        <v>0</v>
      </c>
      <c r="O455" s="348">
        <v>0</v>
      </c>
      <c r="P455" s="348">
        <v>0</v>
      </c>
      <c r="Q455" s="348">
        <v>0</v>
      </c>
      <c r="R455" s="348">
        <v>0</v>
      </c>
      <c r="S455" s="348">
        <v>0</v>
      </c>
      <c r="T455" s="44">
        <v>0</v>
      </c>
      <c r="U455" s="348">
        <v>0</v>
      </c>
      <c r="V455" s="257" t="s">
        <v>997</v>
      </c>
      <c r="W455" s="351">
        <v>892</v>
      </c>
      <c r="X455" s="348">
        <f t="shared" si="195"/>
        <v>2840101.24</v>
      </c>
      <c r="Y455" s="351">
        <v>0</v>
      </c>
      <c r="Z455" s="351">
        <v>0</v>
      </c>
      <c r="AA455" s="351">
        <v>0</v>
      </c>
      <c r="AB455" s="351">
        <v>0</v>
      </c>
      <c r="AC455" s="351">
        <v>0</v>
      </c>
      <c r="AD455" s="351">
        <v>0</v>
      </c>
      <c r="AE455" s="351">
        <v>0</v>
      </c>
      <c r="AF455" s="351">
        <v>0</v>
      </c>
      <c r="AG455" s="351">
        <v>0</v>
      </c>
      <c r="AH455" s="351">
        <v>0</v>
      </c>
      <c r="AI455" s="351">
        <v>0</v>
      </c>
      <c r="AJ455" s="351">
        <f t="shared" si="196"/>
        <v>89217.84</v>
      </c>
      <c r="AK455" s="351">
        <f t="shared" si="197"/>
        <v>44608.92</v>
      </c>
      <c r="AL455" s="351">
        <v>0</v>
      </c>
      <c r="AM455" s="352"/>
      <c r="AN455" s="352"/>
    </row>
    <row r="456" spans="1:40" s="19" customFormat="1" ht="9" hidden="1" customHeight="1">
      <c r="A456" s="349">
        <v>96</v>
      </c>
      <c r="B456" s="118" t="s">
        <v>714</v>
      </c>
      <c r="C456" s="343">
        <v>7634</v>
      </c>
      <c r="D456" s="343"/>
      <c r="E456" s="257"/>
      <c r="F456" s="257"/>
      <c r="G456" s="123">
        <v>6741348</v>
      </c>
      <c r="H456" s="348">
        <f t="shared" si="194"/>
        <v>0</v>
      </c>
      <c r="I456" s="129">
        <v>0</v>
      </c>
      <c r="J456" s="129">
        <v>0</v>
      </c>
      <c r="K456" s="129">
        <v>0</v>
      </c>
      <c r="L456" s="129">
        <v>0</v>
      </c>
      <c r="M456" s="129">
        <v>0</v>
      </c>
      <c r="N456" s="348">
        <v>0</v>
      </c>
      <c r="O456" s="348">
        <v>0</v>
      </c>
      <c r="P456" s="348">
        <v>0</v>
      </c>
      <c r="Q456" s="348">
        <v>0</v>
      </c>
      <c r="R456" s="348">
        <v>0</v>
      </c>
      <c r="S456" s="348">
        <v>0</v>
      </c>
      <c r="T456" s="44">
        <v>0</v>
      </c>
      <c r="U456" s="348">
        <v>0</v>
      </c>
      <c r="V456" s="257" t="s">
        <v>997</v>
      </c>
      <c r="W456" s="351">
        <v>2022</v>
      </c>
      <c r="X456" s="348">
        <f t="shared" si="195"/>
        <v>6437987.3399999999</v>
      </c>
      <c r="Y456" s="351">
        <v>0</v>
      </c>
      <c r="Z456" s="351">
        <v>0</v>
      </c>
      <c r="AA456" s="351">
        <v>0</v>
      </c>
      <c r="AB456" s="351">
        <v>0</v>
      </c>
      <c r="AC456" s="351">
        <v>0</v>
      </c>
      <c r="AD456" s="351">
        <v>0</v>
      </c>
      <c r="AE456" s="351">
        <v>0</v>
      </c>
      <c r="AF456" s="351">
        <v>0</v>
      </c>
      <c r="AG456" s="351">
        <v>0</v>
      </c>
      <c r="AH456" s="351">
        <v>0</v>
      </c>
      <c r="AI456" s="351">
        <v>0</v>
      </c>
      <c r="AJ456" s="351">
        <f t="shared" si="196"/>
        <v>202240.44</v>
      </c>
      <c r="AK456" s="351">
        <f t="shared" si="197"/>
        <v>101120.22</v>
      </c>
      <c r="AL456" s="351">
        <v>0</v>
      </c>
      <c r="AM456" s="352"/>
      <c r="AN456" s="352"/>
    </row>
    <row r="457" spans="1:40" s="19" customFormat="1" ht="9" hidden="1" customHeight="1">
      <c r="A457" s="349">
        <v>97</v>
      </c>
      <c r="B457" s="118" t="s">
        <v>715</v>
      </c>
      <c r="C457" s="343">
        <v>3843</v>
      </c>
      <c r="D457" s="343"/>
      <c r="E457" s="257"/>
      <c r="F457" s="257"/>
      <c r="G457" s="123">
        <v>3230646</v>
      </c>
      <c r="H457" s="348">
        <f t="shared" si="194"/>
        <v>0</v>
      </c>
      <c r="I457" s="129">
        <v>0</v>
      </c>
      <c r="J457" s="129">
        <v>0</v>
      </c>
      <c r="K457" s="129">
        <v>0</v>
      </c>
      <c r="L457" s="129">
        <v>0</v>
      </c>
      <c r="M457" s="129">
        <v>0</v>
      </c>
      <c r="N457" s="348">
        <v>0</v>
      </c>
      <c r="O457" s="348">
        <v>0</v>
      </c>
      <c r="P457" s="348">
        <v>0</v>
      </c>
      <c r="Q457" s="348">
        <v>0</v>
      </c>
      <c r="R457" s="348">
        <v>0</v>
      </c>
      <c r="S457" s="348">
        <v>0</v>
      </c>
      <c r="T457" s="44">
        <v>0</v>
      </c>
      <c r="U457" s="348">
        <v>0</v>
      </c>
      <c r="V457" s="257" t="s">
        <v>997</v>
      </c>
      <c r="W457" s="351">
        <v>969</v>
      </c>
      <c r="X457" s="348">
        <f t="shared" si="195"/>
        <v>3085266.93</v>
      </c>
      <c r="Y457" s="351">
        <v>0</v>
      </c>
      <c r="Z457" s="351">
        <v>0</v>
      </c>
      <c r="AA457" s="351">
        <v>0</v>
      </c>
      <c r="AB457" s="351">
        <v>0</v>
      </c>
      <c r="AC457" s="351">
        <v>0</v>
      </c>
      <c r="AD457" s="351">
        <v>0</v>
      </c>
      <c r="AE457" s="351">
        <v>0</v>
      </c>
      <c r="AF457" s="351">
        <v>0</v>
      </c>
      <c r="AG457" s="351">
        <v>0</v>
      </c>
      <c r="AH457" s="351">
        <v>0</v>
      </c>
      <c r="AI457" s="351">
        <v>0</v>
      </c>
      <c r="AJ457" s="351">
        <f t="shared" si="196"/>
        <v>96919.38</v>
      </c>
      <c r="AK457" s="351">
        <f t="shared" si="197"/>
        <v>48459.69</v>
      </c>
      <c r="AL457" s="351">
        <v>0</v>
      </c>
      <c r="AM457" s="352"/>
      <c r="AN457" s="352"/>
    </row>
    <row r="458" spans="1:40" s="19" customFormat="1" ht="9" hidden="1" customHeight="1">
      <c r="A458" s="349">
        <v>98</v>
      </c>
      <c r="B458" s="118" t="s">
        <v>716</v>
      </c>
      <c r="C458" s="343">
        <v>2689</v>
      </c>
      <c r="D458" s="343"/>
      <c r="E458" s="257"/>
      <c r="F458" s="257"/>
      <c r="G458" s="123">
        <v>4851000</v>
      </c>
      <c r="H458" s="348">
        <f t="shared" si="194"/>
        <v>0</v>
      </c>
      <c r="I458" s="129">
        <v>0</v>
      </c>
      <c r="J458" s="129">
        <v>0</v>
      </c>
      <c r="K458" s="129">
        <v>0</v>
      </c>
      <c r="L458" s="129">
        <v>0</v>
      </c>
      <c r="M458" s="129">
        <v>0</v>
      </c>
      <c r="N458" s="348">
        <v>0</v>
      </c>
      <c r="O458" s="348">
        <v>0</v>
      </c>
      <c r="P458" s="348">
        <v>0</v>
      </c>
      <c r="Q458" s="348">
        <v>0</v>
      </c>
      <c r="R458" s="348">
        <v>0</v>
      </c>
      <c r="S458" s="348">
        <v>0</v>
      </c>
      <c r="T458" s="44">
        <v>0</v>
      </c>
      <c r="U458" s="348">
        <v>0</v>
      </c>
      <c r="V458" s="257" t="s">
        <v>998</v>
      </c>
      <c r="W458" s="351">
        <v>1500</v>
      </c>
      <c r="X458" s="348">
        <f t="shared" si="195"/>
        <v>4632705</v>
      </c>
      <c r="Y458" s="351">
        <v>0</v>
      </c>
      <c r="Z458" s="351">
        <v>0</v>
      </c>
      <c r="AA458" s="351">
        <v>0</v>
      </c>
      <c r="AB458" s="351">
        <v>0</v>
      </c>
      <c r="AC458" s="351">
        <v>0</v>
      </c>
      <c r="AD458" s="351">
        <v>0</v>
      </c>
      <c r="AE458" s="351">
        <v>0</v>
      </c>
      <c r="AF458" s="351">
        <v>0</v>
      </c>
      <c r="AG458" s="351">
        <v>0</v>
      </c>
      <c r="AH458" s="351">
        <v>0</v>
      </c>
      <c r="AI458" s="351">
        <v>0</v>
      </c>
      <c r="AJ458" s="351">
        <f t="shared" si="196"/>
        <v>145530</v>
      </c>
      <c r="AK458" s="351">
        <f t="shared" si="197"/>
        <v>72765</v>
      </c>
      <c r="AL458" s="351">
        <v>0</v>
      </c>
      <c r="AM458" s="352"/>
      <c r="AN458" s="352"/>
    </row>
    <row r="459" spans="1:40" s="19" customFormat="1" ht="9" hidden="1" customHeight="1">
      <c r="A459" s="349">
        <v>99</v>
      </c>
      <c r="B459" s="118" t="s">
        <v>717</v>
      </c>
      <c r="C459" s="343">
        <v>3564.9</v>
      </c>
      <c r="D459" s="343"/>
      <c r="E459" s="257"/>
      <c r="F459" s="257"/>
      <c r="G459" s="123">
        <v>5840604</v>
      </c>
      <c r="H459" s="348">
        <f t="shared" si="194"/>
        <v>0</v>
      </c>
      <c r="I459" s="129">
        <v>0</v>
      </c>
      <c r="J459" s="129">
        <v>0</v>
      </c>
      <c r="K459" s="129">
        <v>0</v>
      </c>
      <c r="L459" s="129">
        <v>0</v>
      </c>
      <c r="M459" s="129">
        <v>0</v>
      </c>
      <c r="N459" s="348">
        <v>0</v>
      </c>
      <c r="O459" s="348">
        <v>0</v>
      </c>
      <c r="P459" s="348">
        <v>0</v>
      </c>
      <c r="Q459" s="348">
        <v>0</v>
      </c>
      <c r="R459" s="348">
        <v>0</v>
      </c>
      <c r="S459" s="348">
        <v>0</v>
      </c>
      <c r="T459" s="44">
        <v>0</v>
      </c>
      <c r="U459" s="348">
        <v>0</v>
      </c>
      <c r="V459" s="257" t="s">
        <v>998</v>
      </c>
      <c r="W459" s="351">
        <v>1806</v>
      </c>
      <c r="X459" s="348">
        <f t="shared" si="195"/>
        <v>5577776.8200000003</v>
      </c>
      <c r="Y459" s="351">
        <v>0</v>
      </c>
      <c r="Z459" s="351">
        <v>0</v>
      </c>
      <c r="AA459" s="351">
        <v>0</v>
      </c>
      <c r="AB459" s="351">
        <v>0</v>
      </c>
      <c r="AC459" s="351">
        <v>0</v>
      </c>
      <c r="AD459" s="351">
        <v>0</v>
      </c>
      <c r="AE459" s="351">
        <v>0</v>
      </c>
      <c r="AF459" s="351">
        <v>0</v>
      </c>
      <c r="AG459" s="351">
        <v>0</v>
      </c>
      <c r="AH459" s="351">
        <v>0</v>
      </c>
      <c r="AI459" s="351">
        <v>0</v>
      </c>
      <c r="AJ459" s="351">
        <f t="shared" si="196"/>
        <v>175218.12</v>
      </c>
      <c r="AK459" s="351">
        <f t="shared" si="197"/>
        <v>87609.06</v>
      </c>
      <c r="AL459" s="351">
        <v>0</v>
      </c>
      <c r="AM459" s="352"/>
      <c r="AN459" s="352"/>
    </row>
    <row r="460" spans="1:40" s="19" customFormat="1" ht="9" hidden="1" customHeight="1">
      <c r="A460" s="349">
        <v>100</v>
      </c>
      <c r="B460" s="118" t="s">
        <v>718</v>
      </c>
      <c r="C460" s="343">
        <v>5372.1</v>
      </c>
      <c r="D460" s="343"/>
      <c r="E460" s="257"/>
      <c r="F460" s="257"/>
      <c r="G460" s="123">
        <v>4664266</v>
      </c>
      <c r="H460" s="348">
        <f t="shared" si="194"/>
        <v>0</v>
      </c>
      <c r="I460" s="129">
        <v>0</v>
      </c>
      <c r="J460" s="129">
        <v>0</v>
      </c>
      <c r="K460" s="129">
        <v>0</v>
      </c>
      <c r="L460" s="129">
        <v>0</v>
      </c>
      <c r="M460" s="129">
        <v>0</v>
      </c>
      <c r="N460" s="348">
        <v>0</v>
      </c>
      <c r="O460" s="348">
        <v>0</v>
      </c>
      <c r="P460" s="348">
        <v>0</v>
      </c>
      <c r="Q460" s="348">
        <v>0</v>
      </c>
      <c r="R460" s="348">
        <v>0</v>
      </c>
      <c r="S460" s="348">
        <v>0</v>
      </c>
      <c r="T460" s="44">
        <v>0</v>
      </c>
      <c r="U460" s="348">
        <v>0</v>
      </c>
      <c r="V460" s="257" t="s">
        <v>997</v>
      </c>
      <c r="W460" s="351">
        <v>1399</v>
      </c>
      <c r="X460" s="348">
        <f t="shared" si="195"/>
        <v>4454374.03</v>
      </c>
      <c r="Y460" s="351">
        <v>0</v>
      </c>
      <c r="Z460" s="351">
        <v>0</v>
      </c>
      <c r="AA460" s="351">
        <v>0</v>
      </c>
      <c r="AB460" s="351">
        <v>0</v>
      </c>
      <c r="AC460" s="351">
        <v>0</v>
      </c>
      <c r="AD460" s="351">
        <v>0</v>
      </c>
      <c r="AE460" s="351">
        <v>0</v>
      </c>
      <c r="AF460" s="351">
        <v>0</v>
      </c>
      <c r="AG460" s="351">
        <v>0</v>
      </c>
      <c r="AH460" s="351">
        <v>0</v>
      </c>
      <c r="AI460" s="351">
        <v>0</v>
      </c>
      <c r="AJ460" s="351">
        <f t="shared" si="196"/>
        <v>139927.98000000001</v>
      </c>
      <c r="AK460" s="351">
        <f t="shared" si="197"/>
        <v>69963.990000000005</v>
      </c>
      <c r="AL460" s="351">
        <v>0</v>
      </c>
      <c r="AM460" s="352"/>
      <c r="AN460" s="352"/>
    </row>
    <row r="461" spans="1:40" s="19" customFormat="1" ht="9" hidden="1" customHeight="1">
      <c r="A461" s="349">
        <v>101</v>
      </c>
      <c r="B461" s="118" t="s">
        <v>719</v>
      </c>
      <c r="C461" s="343">
        <v>5492.3</v>
      </c>
      <c r="D461" s="343"/>
      <c r="E461" s="257"/>
      <c r="F461" s="257"/>
      <c r="G461" s="123">
        <v>4634260</v>
      </c>
      <c r="H461" s="348">
        <f t="shared" si="194"/>
        <v>0</v>
      </c>
      <c r="I461" s="129">
        <v>0</v>
      </c>
      <c r="J461" s="129">
        <v>0</v>
      </c>
      <c r="K461" s="129">
        <v>0</v>
      </c>
      <c r="L461" s="129">
        <v>0</v>
      </c>
      <c r="M461" s="129">
        <v>0</v>
      </c>
      <c r="N461" s="348">
        <v>0</v>
      </c>
      <c r="O461" s="348">
        <v>0</v>
      </c>
      <c r="P461" s="348">
        <v>0</v>
      </c>
      <c r="Q461" s="348">
        <v>0</v>
      </c>
      <c r="R461" s="348">
        <v>0</v>
      </c>
      <c r="S461" s="348">
        <v>0</v>
      </c>
      <c r="T461" s="44">
        <v>0</v>
      </c>
      <c r="U461" s="348">
        <v>0</v>
      </c>
      <c r="V461" s="257" t="s">
        <v>997</v>
      </c>
      <c r="W461" s="351">
        <v>1390</v>
      </c>
      <c r="X461" s="348">
        <f t="shared" si="195"/>
        <v>4425718.3</v>
      </c>
      <c r="Y461" s="351">
        <v>0</v>
      </c>
      <c r="Z461" s="351">
        <v>0</v>
      </c>
      <c r="AA461" s="351">
        <v>0</v>
      </c>
      <c r="AB461" s="351">
        <v>0</v>
      </c>
      <c r="AC461" s="351">
        <v>0</v>
      </c>
      <c r="AD461" s="351">
        <v>0</v>
      </c>
      <c r="AE461" s="351">
        <v>0</v>
      </c>
      <c r="AF461" s="351">
        <v>0</v>
      </c>
      <c r="AG461" s="351">
        <v>0</v>
      </c>
      <c r="AH461" s="351">
        <v>0</v>
      </c>
      <c r="AI461" s="351">
        <v>0</v>
      </c>
      <c r="AJ461" s="351">
        <f t="shared" si="196"/>
        <v>139027.79999999999</v>
      </c>
      <c r="AK461" s="351">
        <f t="shared" si="197"/>
        <v>69513.899999999994</v>
      </c>
      <c r="AL461" s="351">
        <v>0</v>
      </c>
      <c r="AM461" s="352"/>
      <c r="AN461" s="352"/>
    </row>
    <row r="462" spans="1:40" s="19" customFormat="1" ht="9" hidden="1" customHeight="1">
      <c r="A462" s="349">
        <v>102</v>
      </c>
      <c r="B462" s="118" t="s">
        <v>720</v>
      </c>
      <c r="C462" s="343">
        <v>4166.3</v>
      </c>
      <c r="D462" s="343"/>
      <c r="E462" s="257"/>
      <c r="F462" s="257"/>
      <c r="G462" s="123">
        <v>4577582</v>
      </c>
      <c r="H462" s="348">
        <f t="shared" si="194"/>
        <v>0</v>
      </c>
      <c r="I462" s="129">
        <v>0</v>
      </c>
      <c r="J462" s="129">
        <v>0</v>
      </c>
      <c r="K462" s="129">
        <v>0</v>
      </c>
      <c r="L462" s="129">
        <v>0</v>
      </c>
      <c r="M462" s="129">
        <v>0</v>
      </c>
      <c r="N462" s="348">
        <v>0</v>
      </c>
      <c r="O462" s="348">
        <v>0</v>
      </c>
      <c r="P462" s="348">
        <v>0</v>
      </c>
      <c r="Q462" s="348">
        <v>0</v>
      </c>
      <c r="R462" s="348">
        <v>0</v>
      </c>
      <c r="S462" s="348">
        <v>0</v>
      </c>
      <c r="T462" s="44">
        <v>0</v>
      </c>
      <c r="U462" s="348">
        <v>0</v>
      </c>
      <c r="V462" s="257" t="s">
        <v>997</v>
      </c>
      <c r="W462" s="351">
        <v>1373</v>
      </c>
      <c r="X462" s="348">
        <f t="shared" si="195"/>
        <v>4371590.8099999996</v>
      </c>
      <c r="Y462" s="351">
        <v>0</v>
      </c>
      <c r="Z462" s="351">
        <v>0</v>
      </c>
      <c r="AA462" s="351">
        <v>0</v>
      </c>
      <c r="AB462" s="351">
        <v>0</v>
      </c>
      <c r="AC462" s="351">
        <v>0</v>
      </c>
      <c r="AD462" s="351">
        <v>0</v>
      </c>
      <c r="AE462" s="351">
        <v>0</v>
      </c>
      <c r="AF462" s="351">
        <v>0</v>
      </c>
      <c r="AG462" s="351">
        <v>0</v>
      </c>
      <c r="AH462" s="351">
        <v>0</v>
      </c>
      <c r="AI462" s="351">
        <v>0</v>
      </c>
      <c r="AJ462" s="351">
        <f t="shared" si="196"/>
        <v>137327.46</v>
      </c>
      <c r="AK462" s="351">
        <f t="shared" si="197"/>
        <v>68663.73</v>
      </c>
      <c r="AL462" s="351">
        <v>0</v>
      </c>
      <c r="AM462" s="352"/>
      <c r="AN462" s="352"/>
    </row>
    <row r="463" spans="1:40" s="19" customFormat="1" ht="9" hidden="1" customHeight="1">
      <c r="A463" s="349">
        <v>103</v>
      </c>
      <c r="B463" s="118" t="s">
        <v>721</v>
      </c>
      <c r="C463" s="343">
        <v>3181.1</v>
      </c>
      <c r="D463" s="343"/>
      <c r="E463" s="257"/>
      <c r="F463" s="257"/>
      <c r="G463" s="123">
        <v>3200640</v>
      </c>
      <c r="H463" s="348">
        <f t="shared" si="194"/>
        <v>0</v>
      </c>
      <c r="I463" s="129">
        <v>0</v>
      </c>
      <c r="J463" s="129">
        <v>0</v>
      </c>
      <c r="K463" s="129">
        <v>0</v>
      </c>
      <c r="L463" s="129">
        <v>0</v>
      </c>
      <c r="M463" s="129">
        <v>0</v>
      </c>
      <c r="N463" s="348">
        <v>0</v>
      </c>
      <c r="O463" s="348">
        <v>0</v>
      </c>
      <c r="P463" s="348">
        <v>0</v>
      </c>
      <c r="Q463" s="348">
        <v>0</v>
      </c>
      <c r="R463" s="348">
        <v>0</v>
      </c>
      <c r="S463" s="348">
        <v>0</v>
      </c>
      <c r="T463" s="44">
        <v>0</v>
      </c>
      <c r="U463" s="348">
        <v>0</v>
      </c>
      <c r="V463" s="257" t="s">
        <v>997</v>
      </c>
      <c r="W463" s="351">
        <v>960</v>
      </c>
      <c r="X463" s="348">
        <f t="shared" si="195"/>
        <v>3056611.2</v>
      </c>
      <c r="Y463" s="351">
        <v>0</v>
      </c>
      <c r="Z463" s="351">
        <v>0</v>
      </c>
      <c r="AA463" s="351">
        <v>0</v>
      </c>
      <c r="AB463" s="351">
        <v>0</v>
      </c>
      <c r="AC463" s="351">
        <v>0</v>
      </c>
      <c r="AD463" s="351">
        <v>0</v>
      </c>
      <c r="AE463" s="351">
        <v>0</v>
      </c>
      <c r="AF463" s="351">
        <v>0</v>
      </c>
      <c r="AG463" s="351">
        <v>0</v>
      </c>
      <c r="AH463" s="351">
        <v>0</v>
      </c>
      <c r="AI463" s="351">
        <v>0</v>
      </c>
      <c r="AJ463" s="351">
        <f t="shared" si="196"/>
        <v>96019.199999999997</v>
      </c>
      <c r="AK463" s="351">
        <f t="shared" si="197"/>
        <v>48009.599999999999</v>
      </c>
      <c r="AL463" s="351">
        <v>0</v>
      </c>
      <c r="AM463" s="352"/>
      <c r="AN463" s="352"/>
    </row>
    <row r="464" spans="1:40" s="19" customFormat="1" ht="9" hidden="1" customHeight="1">
      <c r="A464" s="349">
        <v>104</v>
      </c>
      <c r="B464" s="118" t="s">
        <v>722</v>
      </c>
      <c r="C464" s="343">
        <v>1800.8</v>
      </c>
      <c r="D464" s="343"/>
      <c r="E464" s="257"/>
      <c r="F464" s="257"/>
      <c r="G464" s="123">
        <v>1690338</v>
      </c>
      <c r="H464" s="348">
        <f t="shared" si="194"/>
        <v>0</v>
      </c>
      <c r="I464" s="129">
        <v>0</v>
      </c>
      <c r="J464" s="129">
        <v>0</v>
      </c>
      <c r="K464" s="129">
        <v>0</v>
      </c>
      <c r="L464" s="129">
        <v>0</v>
      </c>
      <c r="M464" s="129">
        <v>0</v>
      </c>
      <c r="N464" s="348">
        <v>0</v>
      </c>
      <c r="O464" s="348">
        <v>0</v>
      </c>
      <c r="P464" s="348">
        <v>0</v>
      </c>
      <c r="Q464" s="348">
        <v>0</v>
      </c>
      <c r="R464" s="348">
        <v>0</v>
      </c>
      <c r="S464" s="348">
        <v>0</v>
      </c>
      <c r="T464" s="44">
        <v>0</v>
      </c>
      <c r="U464" s="348">
        <v>0</v>
      </c>
      <c r="V464" s="257" t="s">
        <v>997</v>
      </c>
      <c r="W464" s="351">
        <v>507</v>
      </c>
      <c r="X464" s="348">
        <f t="shared" si="195"/>
        <v>1614272.79</v>
      </c>
      <c r="Y464" s="351">
        <v>0</v>
      </c>
      <c r="Z464" s="351">
        <v>0</v>
      </c>
      <c r="AA464" s="351">
        <v>0</v>
      </c>
      <c r="AB464" s="351">
        <v>0</v>
      </c>
      <c r="AC464" s="351">
        <v>0</v>
      </c>
      <c r="AD464" s="351">
        <v>0</v>
      </c>
      <c r="AE464" s="351">
        <v>0</v>
      </c>
      <c r="AF464" s="351">
        <v>0</v>
      </c>
      <c r="AG464" s="351">
        <v>0</v>
      </c>
      <c r="AH464" s="351">
        <v>0</v>
      </c>
      <c r="AI464" s="351">
        <v>0</v>
      </c>
      <c r="AJ464" s="351">
        <f t="shared" si="196"/>
        <v>50710.14</v>
      </c>
      <c r="AK464" s="351">
        <f t="shared" si="197"/>
        <v>25355.07</v>
      </c>
      <c r="AL464" s="351">
        <v>0</v>
      </c>
      <c r="AM464" s="352"/>
      <c r="AN464" s="352"/>
    </row>
    <row r="465" spans="1:40" s="19" customFormat="1" ht="9" hidden="1" customHeight="1">
      <c r="A465" s="349">
        <v>105</v>
      </c>
      <c r="B465" s="118" t="s">
        <v>723</v>
      </c>
      <c r="C465" s="343">
        <v>1875.4</v>
      </c>
      <c r="D465" s="343"/>
      <c r="E465" s="257"/>
      <c r="F465" s="257"/>
      <c r="G465" s="123">
        <v>2952642</v>
      </c>
      <c r="H465" s="348">
        <f t="shared" si="194"/>
        <v>0</v>
      </c>
      <c r="I465" s="129">
        <v>0</v>
      </c>
      <c r="J465" s="129">
        <v>0</v>
      </c>
      <c r="K465" s="129">
        <v>0</v>
      </c>
      <c r="L465" s="129">
        <v>0</v>
      </c>
      <c r="M465" s="129">
        <v>0</v>
      </c>
      <c r="N465" s="348">
        <v>0</v>
      </c>
      <c r="O465" s="348">
        <v>0</v>
      </c>
      <c r="P465" s="348">
        <v>0</v>
      </c>
      <c r="Q465" s="348">
        <v>0</v>
      </c>
      <c r="R465" s="348">
        <v>0</v>
      </c>
      <c r="S465" s="348">
        <v>0</v>
      </c>
      <c r="T465" s="44">
        <v>0</v>
      </c>
      <c r="U465" s="348">
        <v>0</v>
      </c>
      <c r="V465" s="257" t="s">
        <v>998</v>
      </c>
      <c r="W465" s="351">
        <v>913</v>
      </c>
      <c r="X465" s="348">
        <f t="shared" si="195"/>
        <v>2819773.11</v>
      </c>
      <c r="Y465" s="351">
        <v>0</v>
      </c>
      <c r="Z465" s="351">
        <v>0</v>
      </c>
      <c r="AA465" s="351">
        <v>0</v>
      </c>
      <c r="AB465" s="351">
        <v>0</v>
      </c>
      <c r="AC465" s="351">
        <v>0</v>
      </c>
      <c r="AD465" s="351">
        <v>0</v>
      </c>
      <c r="AE465" s="351">
        <v>0</v>
      </c>
      <c r="AF465" s="351">
        <v>0</v>
      </c>
      <c r="AG465" s="351">
        <v>0</v>
      </c>
      <c r="AH465" s="351">
        <v>0</v>
      </c>
      <c r="AI465" s="351">
        <v>0</v>
      </c>
      <c r="AJ465" s="351">
        <f t="shared" si="196"/>
        <v>88579.26</v>
      </c>
      <c r="AK465" s="351">
        <f t="shared" si="197"/>
        <v>44289.63</v>
      </c>
      <c r="AL465" s="351">
        <v>0</v>
      </c>
      <c r="AM465" s="352"/>
      <c r="AN465" s="352"/>
    </row>
    <row r="466" spans="1:40" s="19" customFormat="1" ht="9" hidden="1" customHeight="1">
      <c r="A466" s="349">
        <v>106</v>
      </c>
      <c r="B466" s="118" t="s">
        <v>724</v>
      </c>
      <c r="C466" s="343">
        <v>5519.9</v>
      </c>
      <c r="D466" s="343"/>
      <c r="E466" s="257"/>
      <c r="F466" s="257"/>
      <c r="G466" s="123">
        <v>5197706</v>
      </c>
      <c r="H466" s="348">
        <f t="shared" si="194"/>
        <v>0</v>
      </c>
      <c r="I466" s="129">
        <v>0</v>
      </c>
      <c r="J466" s="129">
        <v>0</v>
      </c>
      <c r="K466" s="129">
        <v>0</v>
      </c>
      <c r="L466" s="129">
        <v>0</v>
      </c>
      <c r="M466" s="129">
        <v>0</v>
      </c>
      <c r="N466" s="348">
        <v>0</v>
      </c>
      <c r="O466" s="348">
        <v>0</v>
      </c>
      <c r="P466" s="348">
        <v>0</v>
      </c>
      <c r="Q466" s="348">
        <v>0</v>
      </c>
      <c r="R466" s="348">
        <v>0</v>
      </c>
      <c r="S466" s="348">
        <v>0</v>
      </c>
      <c r="T466" s="44">
        <v>0</v>
      </c>
      <c r="U466" s="348">
        <v>0</v>
      </c>
      <c r="V466" s="257" t="s">
        <v>997</v>
      </c>
      <c r="W466" s="351">
        <v>1559</v>
      </c>
      <c r="X466" s="348">
        <f t="shared" si="195"/>
        <v>4963809.2300000004</v>
      </c>
      <c r="Y466" s="351">
        <v>0</v>
      </c>
      <c r="Z466" s="351">
        <v>0</v>
      </c>
      <c r="AA466" s="351">
        <v>0</v>
      </c>
      <c r="AB466" s="351">
        <v>0</v>
      </c>
      <c r="AC466" s="351">
        <v>0</v>
      </c>
      <c r="AD466" s="351">
        <v>0</v>
      </c>
      <c r="AE466" s="351">
        <v>0</v>
      </c>
      <c r="AF466" s="351">
        <v>0</v>
      </c>
      <c r="AG466" s="351">
        <v>0</v>
      </c>
      <c r="AH466" s="351">
        <v>0</v>
      </c>
      <c r="AI466" s="351">
        <v>0</v>
      </c>
      <c r="AJ466" s="351">
        <f t="shared" si="196"/>
        <v>155931.18</v>
      </c>
      <c r="AK466" s="351">
        <f t="shared" si="197"/>
        <v>77965.59</v>
      </c>
      <c r="AL466" s="351">
        <v>0</v>
      </c>
      <c r="AM466" s="352"/>
      <c r="AN466" s="352"/>
    </row>
    <row r="467" spans="1:40" s="19" customFormat="1" ht="9" hidden="1" customHeight="1">
      <c r="A467" s="349">
        <v>107</v>
      </c>
      <c r="B467" s="118" t="s">
        <v>725</v>
      </c>
      <c r="C467" s="343">
        <v>1292.4000000000001</v>
      </c>
      <c r="D467" s="343"/>
      <c r="E467" s="257"/>
      <c r="F467" s="257"/>
      <c r="G467" s="123">
        <v>1911294</v>
      </c>
      <c r="H467" s="348">
        <f t="shared" si="194"/>
        <v>0</v>
      </c>
      <c r="I467" s="129">
        <v>0</v>
      </c>
      <c r="J467" s="129">
        <v>0</v>
      </c>
      <c r="K467" s="129">
        <v>0</v>
      </c>
      <c r="L467" s="129">
        <v>0</v>
      </c>
      <c r="M467" s="129">
        <v>0</v>
      </c>
      <c r="N467" s="348">
        <v>0</v>
      </c>
      <c r="O467" s="348">
        <v>0</v>
      </c>
      <c r="P467" s="348">
        <v>0</v>
      </c>
      <c r="Q467" s="348">
        <v>0</v>
      </c>
      <c r="R467" s="348">
        <v>0</v>
      </c>
      <c r="S467" s="348">
        <v>0</v>
      </c>
      <c r="T467" s="44">
        <v>0</v>
      </c>
      <c r="U467" s="348">
        <v>0</v>
      </c>
      <c r="V467" s="257" t="s">
        <v>998</v>
      </c>
      <c r="W467" s="351">
        <v>591</v>
      </c>
      <c r="X467" s="348">
        <f t="shared" si="195"/>
        <v>1825285.77</v>
      </c>
      <c r="Y467" s="351">
        <v>0</v>
      </c>
      <c r="Z467" s="351">
        <v>0</v>
      </c>
      <c r="AA467" s="351">
        <v>0</v>
      </c>
      <c r="AB467" s="351">
        <v>0</v>
      </c>
      <c r="AC467" s="351">
        <v>0</v>
      </c>
      <c r="AD467" s="351">
        <v>0</v>
      </c>
      <c r="AE467" s="351">
        <v>0</v>
      </c>
      <c r="AF467" s="351">
        <v>0</v>
      </c>
      <c r="AG467" s="351">
        <v>0</v>
      </c>
      <c r="AH467" s="351">
        <v>0</v>
      </c>
      <c r="AI467" s="351">
        <v>0</v>
      </c>
      <c r="AJ467" s="351">
        <f t="shared" si="196"/>
        <v>57338.82</v>
      </c>
      <c r="AK467" s="351">
        <f t="shared" si="197"/>
        <v>28669.41</v>
      </c>
      <c r="AL467" s="351">
        <v>0</v>
      </c>
      <c r="AM467" s="352"/>
      <c r="AN467" s="352"/>
    </row>
    <row r="468" spans="1:40" s="19" customFormat="1" ht="9" hidden="1" customHeight="1">
      <c r="A468" s="349">
        <v>108</v>
      </c>
      <c r="B468" s="118" t="s">
        <v>726</v>
      </c>
      <c r="C468" s="343">
        <v>1312.2</v>
      </c>
      <c r="D468" s="343"/>
      <c r="E468" s="257"/>
      <c r="F468" s="257"/>
      <c r="G468" s="123">
        <v>1875720</v>
      </c>
      <c r="H468" s="348">
        <f t="shared" si="194"/>
        <v>0</v>
      </c>
      <c r="I468" s="129">
        <v>0</v>
      </c>
      <c r="J468" s="129">
        <v>0</v>
      </c>
      <c r="K468" s="129">
        <v>0</v>
      </c>
      <c r="L468" s="129">
        <v>0</v>
      </c>
      <c r="M468" s="129">
        <v>0</v>
      </c>
      <c r="N468" s="348">
        <v>0</v>
      </c>
      <c r="O468" s="348">
        <v>0</v>
      </c>
      <c r="P468" s="348">
        <v>0</v>
      </c>
      <c r="Q468" s="348">
        <v>0</v>
      </c>
      <c r="R468" s="348">
        <v>0</v>
      </c>
      <c r="S468" s="348">
        <v>0</v>
      </c>
      <c r="T468" s="44">
        <v>0</v>
      </c>
      <c r="U468" s="348">
        <v>0</v>
      </c>
      <c r="V468" s="257" t="s">
        <v>998</v>
      </c>
      <c r="W468" s="351">
        <v>580</v>
      </c>
      <c r="X468" s="348">
        <f t="shared" si="195"/>
        <v>1791312.6</v>
      </c>
      <c r="Y468" s="351">
        <v>0</v>
      </c>
      <c r="Z468" s="351">
        <v>0</v>
      </c>
      <c r="AA468" s="351">
        <v>0</v>
      </c>
      <c r="AB468" s="351">
        <v>0</v>
      </c>
      <c r="AC468" s="351">
        <v>0</v>
      </c>
      <c r="AD468" s="351">
        <v>0</v>
      </c>
      <c r="AE468" s="351">
        <v>0</v>
      </c>
      <c r="AF468" s="351">
        <v>0</v>
      </c>
      <c r="AG468" s="351">
        <v>0</v>
      </c>
      <c r="AH468" s="351">
        <v>0</v>
      </c>
      <c r="AI468" s="351">
        <v>0</v>
      </c>
      <c r="AJ468" s="351">
        <f t="shared" si="196"/>
        <v>56271.6</v>
      </c>
      <c r="AK468" s="351">
        <f t="shared" si="197"/>
        <v>28135.8</v>
      </c>
      <c r="AL468" s="351">
        <v>0</v>
      </c>
      <c r="AM468" s="352"/>
      <c r="AN468" s="352"/>
    </row>
    <row r="469" spans="1:40" s="19" customFormat="1" ht="9" hidden="1" customHeight="1">
      <c r="A469" s="349">
        <v>109</v>
      </c>
      <c r="B469" s="118" t="s">
        <v>727</v>
      </c>
      <c r="C469" s="343">
        <v>2222.3000000000002</v>
      </c>
      <c r="D469" s="343"/>
      <c r="E469" s="257"/>
      <c r="F469" s="257"/>
      <c r="G469" s="123">
        <v>3394012</v>
      </c>
      <c r="H469" s="348">
        <f t="shared" si="194"/>
        <v>0</v>
      </c>
      <c r="I469" s="129">
        <v>0</v>
      </c>
      <c r="J469" s="129">
        <v>0</v>
      </c>
      <c r="K469" s="129">
        <v>0</v>
      </c>
      <c r="L469" s="129">
        <v>0</v>
      </c>
      <c r="M469" s="129">
        <v>0</v>
      </c>
      <c r="N469" s="348">
        <v>0</v>
      </c>
      <c r="O469" s="348">
        <v>0</v>
      </c>
      <c r="P469" s="348">
        <v>0</v>
      </c>
      <c r="Q469" s="348">
        <v>0</v>
      </c>
      <c r="R469" s="348">
        <v>0</v>
      </c>
      <c r="S469" s="348">
        <v>0</v>
      </c>
      <c r="T469" s="44">
        <v>0</v>
      </c>
      <c r="U469" s="348">
        <v>0</v>
      </c>
      <c r="V469" s="257" t="s">
        <v>997</v>
      </c>
      <c r="W469" s="351">
        <v>1018</v>
      </c>
      <c r="X469" s="348">
        <f t="shared" si="195"/>
        <v>3241281.46</v>
      </c>
      <c r="Y469" s="351">
        <v>0</v>
      </c>
      <c r="Z469" s="351">
        <v>0</v>
      </c>
      <c r="AA469" s="351">
        <v>0</v>
      </c>
      <c r="AB469" s="351">
        <v>0</v>
      </c>
      <c r="AC469" s="351">
        <v>0</v>
      </c>
      <c r="AD469" s="351">
        <v>0</v>
      </c>
      <c r="AE469" s="351">
        <v>0</v>
      </c>
      <c r="AF469" s="351">
        <v>0</v>
      </c>
      <c r="AG469" s="351">
        <v>0</v>
      </c>
      <c r="AH469" s="351">
        <v>0</v>
      </c>
      <c r="AI469" s="351">
        <v>0</v>
      </c>
      <c r="AJ469" s="351">
        <f t="shared" si="196"/>
        <v>101820.36</v>
      </c>
      <c r="AK469" s="351">
        <f t="shared" si="197"/>
        <v>50910.18</v>
      </c>
      <c r="AL469" s="351">
        <v>0</v>
      </c>
      <c r="AM469" s="352"/>
      <c r="AN469" s="352"/>
    </row>
    <row r="470" spans="1:40" s="19" customFormat="1" ht="9" hidden="1" customHeight="1">
      <c r="A470" s="349">
        <v>110</v>
      </c>
      <c r="B470" s="118" t="s">
        <v>728</v>
      </c>
      <c r="C470" s="343">
        <v>3787.2</v>
      </c>
      <c r="D470" s="343"/>
      <c r="E470" s="257"/>
      <c r="F470" s="257"/>
      <c r="G470" s="123">
        <v>5675670</v>
      </c>
      <c r="H470" s="348">
        <f t="shared" si="194"/>
        <v>0</v>
      </c>
      <c r="I470" s="129">
        <v>0</v>
      </c>
      <c r="J470" s="129">
        <v>0</v>
      </c>
      <c r="K470" s="129">
        <v>0</v>
      </c>
      <c r="L470" s="129">
        <v>0</v>
      </c>
      <c r="M470" s="129">
        <v>0</v>
      </c>
      <c r="N470" s="348">
        <v>0</v>
      </c>
      <c r="O470" s="348">
        <v>0</v>
      </c>
      <c r="P470" s="348">
        <v>0</v>
      </c>
      <c r="Q470" s="348">
        <v>0</v>
      </c>
      <c r="R470" s="348">
        <v>0</v>
      </c>
      <c r="S470" s="348">
        <v>0</v>
      </c>
      <c r="T470" s="44">
        <v>0</v>
      </c>
      <c r="U470" s="348">
        <v>0</v>
      </c>
      <c r="V470" s="257" t="s">
        <v>998</v>
      </c>
      <c r="W470" s="351">
        <v>1755</v>
      </c>
      <c r="X470" s="348">
        <f t="shared" si="195"/>
        <v>5420264.8499999996</v>
      </c>
      <c r="Y470" s="351">
        <v>0</v>
      </c>
      <c r="Z470" s="351">
        <v>0</v>
      </c>
      <c r="AA470" s="351">
        <v>0</v>
      </c>
      <c r="AB470" s="351">
        <v>0</v>
      </c>
      <c r="AC470" s="351">
        <v>0</v>
      </c>
      <c r="AD470" s="351">
        <v>0</v>
      </c>
      <c r="AE470" s="351">
        <v>0</v>
      </c>
      <c r="AF470" s="351">
        <v>0</v>
      </c>
      <c r="AG470" s="351">
        <v>0</v>
      </c>
      <c r="AH470" s="351">
        <v>0</v>
      </c>
      <c r="AI470" s="351">
        <v>0</v>
      </c>
      <c r="AJ470" s="351">
        <f t="shared" si="196"/>
        <v>170270.1</v>
      </c>
      <c r="AK470" s="351">
        <f t="shared" si="197"/>
        <v>85135.05</v>
      </c>
      <c r="AL470" s="351">
        <v>0</v>
      </c>
      <c r="AM470" s="352"/>
      <c r="AN470" s="352"/>
    </row>
    <row r="471" spans="1:40" s="19" customFormat="1" ht="9" hidden="1" customHeight="1">
      <c r="A471" s="349">
        <v>111</v>
      </c>
      <c r="B471" s="118" t="s">
        <v>729</v>
      </c>
      <c r="C471" s="343">
        <v>10213</v>
      </c>
      <c r="D471" s="343"/>
      <c r="E471" s="257"/>
      <c r="F471" s="257"/>
      <c r="G471" s="123">
        <v>8835100</v>
      </c>
      <c r="H471" s="348">
        <f t="shared" si="194"/>
        <v>0</v>
      </c>
      <c r="I471" s="129">
        <v>0</v>
      </c>
      <c r="J471" s="129">
        <v>0</v>
      </c>
      <c r="K471" s="129">
        <v>0</v>
      </c>
      <c r="L471" s="129">
        <v>0</v>
      </c>
      <c r="M471" s="129">
        <v>0</v>
      </c>
      <c r="N471" s="348">
        <v>0</v>
      </c>
      <c r="O471" s="348">
        <v>0</v>
      </c>
      <c r="P471" s="348">
        <v>0</v>
      </c>
      <c r="Q471" s="348">
        <v>0</v>
      </c>
      <c r="R471" s="348">
        <v>0</v>
      </c>
      <c r="S471" s="348">
        <v>0</v>
      </c>
      <c r="T471" s="44">
        <v>0</v>
      </c>
      <c r="U471" s="348">
        <v>0</v>
      </c>
      <c r="V471" s="257" t="s">
        <v>997</v>
      </c>
      <c r="W471" s="351">
        <v>2650</v>
      </c>
      <c r="X471" s="348">
        <f t="shared" si="195"/>
        <v>8437520.5</v>
      </c>
      <c r="Y471" s="351">
        <v>0</v>
      </c>
      <c r="Z471" s="351">
        <v>0</v>
      </c>
      <c r="AA471" s="351">
        <v>0</v>
      </c>
      <c r="AB471" s="351">
        <v>0</v>
      </c>
      <c r="AC471" s="351">
        <v>0</v>
      </c>
      <c r="AD471" s="351">
        <v>0</v>
      </c>
      <c r="AE471" s="351">
        <v>0</v>
      </c>
      <c r="AF471" s="351">
        <v>0</v>
      </c>
      <c r="AG471" s="351">
        <v>0</v>
      </c>
      <c r="AH471" s="351">
        <v>0</v>
      </c>
      <c r="AI471" s="351">
        <v>0</v>
      </c>
      <c r="AJ471" s="351">
        <f t="shared" si="196"/>
        <v>265053</v>
      </c>
      <c r="AK471" s="351">
        <f t="shared" si="197"/>
        <v>132526.5</v>
      </c>
      <c r="AL471" s="351">
        <v>0</v>
      </c>
      <c r="AM471" s="352"/>
      <c r="AN471" s="352"/>
    </row>
    <row r="472" spans="1:40" s="19" customFormat="1" ht="9" hidden="1" customHeight="1">
      <c r="A472" s="349">
        <v>112</v>
      </c>
      <c r="B472" s="118" t="s">
        <v>730</v>
      </c>
      <c r="C472" s="343">
        <v>9363</v>
      </c>
      <c r="D472" s="343"/>
      <c r="E472" s="257"/>
      <c r="F472" s="257"/>
      <c r="G472" s="123">
        <v>7968260</v>
      </c>
      <c r="H472" s="348">
        <f t="shared" si="194"/>
        <v>0</v>
      </c>
      <c r="I472" s="129">
        <v>0</v>
      </c>
      <c r="J472" s="129">
        <v>0</v>
      </c>
      <c r="K472" s="129">
        <v>0</v>
      </c>
      <c r="L472" s="129">
        <v>0</v>
      </c>
      <c r="M472" s="129">
        <v>0</v>
      </c>
      <c r="N472" s="348">
        <v>0</v>
      </c>
      <c r="O472" s="348">
        <v>0</v>
      </c>
      <c r="P472" s="348">
        <v>0</v>
      </c>
      <c r="Q472" s="348">
        <v>0</v>
      </c>
      <c r="R472" s="348">
        <v>0</v>
      </c>
      <c r="S472" s="348">
        <v>0</v>
      </c>
      <c r="T472" s="44">
        <v>0</v>
      </c>
      <c r="U472" s="348">
        <v>0</v>
      </c>
      <c r="V472" s="257" t="s">
        <v>997</v>
      </c>
      <c r="W472" s="351">
        <v>2390</v>
      </c>
      <c r="X472" s="348">
        <f t="shared" si="195"/>
        <v>7609688.2999999998</v>
      </c>
      <c r="Y472" s="351">
        <v>0</v>
      </c>
      <c r="Z472" s="351">
        <v>0</v>
      </c>
      <c r="AA472" s="351">
        <v>0</v>
      </c>
      <c r="AB472" s="351">
        <v>0</v>
      </c>
      <c r="AC472" s="351">
        <v>0</v>
      </c>
      <c r="AD472" s="351">
        <v>0</v>
      </c>
      <c r="AE472" s="351">
        <v>0</v>
      </c>
      <c r="AF472" s="351">
        <v>0</v>
      </c>
      <c r="AG472" s="351">
        <v>0</v>
      </c>
      <c r="AH472" s="351">
        <v>0</v>
      </c>
      <c r="AI472" s="351">
        <v>0</v>
      </c>
      <c r="AJ472" s="351">
        <f t="shared" si="196"/>
        <v>239047.8</v>
      </c>
      <c r="AK472" s="351">
        <f t="shared" si="197"/>
        <v>119523.9</v>
      </c>
      <c r="AL472" s="351">
        <v>0</v>
      </c>
      <c r="AM472" s="352"/>
      <c r="AN472" s="352"/>
    </row>
    <row r="473" spans="1:40" s="19" customFormat="1" ht="9" hidden="1" customHeight="1">
      <c r="A473" s="349">
        <v>113</v>
      </c>
      <c r="B473" s="118" t="s">
        <v>731</v>
      </c>
      <c r="C473" s="343">
        <v>3306</v>
      </c>
      <c r="D473" s="343"/>
      <c r="E473" s="257"/>
      <c r="F473" s="257"/>
      <c r="G473" s="123">
        <v>2767220</v>
      </c>
      <c r="H473" s="348">
        <f t="shared" si="194"/>
        <v>0</v>
      </c>
      <c r="I473" s="129">
        <v>0</v>
      </c>
      <c r="J473" s="129">
        <v>0</v>
      </c>
      <c r="K473" s="129">
        <v>0</v>
      </c>
      <c r="L473" s="129">
        <v>0</v>
      </c>
      <c r="M473" s="129">
        <v>0</v>
      </c>
      <c r="N473" s="348">
        <v>0</v>
      </c>
      <c r="O473" s="348">
        <v>0</v>
      </c>
      <c r="P473" s="348">
        <v>0</v>
      </c>
      <c r="Q473" s="348">
        <v>0</v>
      </c>
      <c r="R473" s="348">
        <v>0</v>
      </c>
      <c r="S473" s="348">
        <v>0</v>
      </c>
      <c r="T473" s="44">
        <v>0</v>
      </c>
      <c r="U473" s="348">
        <v>0</v>
      </c>
      <c r="V473" s="257" t="s">
        <v>997</v>
      </c>
      <c r="W473" s="351">
        <v>830</v>
      </c>
      <c r="X473" s="348">
        <f t="shared" si="195"/>
        <v>2642695.1</v>
      </c>
      <c r="Y473" s="351">
        <v>0</v>
      </c>
      <c r="Z473" s="351">
        <v>0</v>
      </c>
      <c r="AA473" s="351">
        <v>0</v>
      </c>
      <c r="AB473" s="351">
        <v>0</v>
      </c>
      <c r="AC473" s="351">
        <v>0</v>
      </c>
      <c r="AD473" s="351">
        <v>0</v>
      </c>
      <c r="AE473" s="351">
        <v>0</v>
      </c>
      <c r="AF473" s="351">
        <v>0</v>
      </c>
      <c r="AG473" s="351">
        <v>0</v>
      </c>
      <c r="AH473" s="351">
        <v>0</v>
      </c>
      <c r="AI473" s="351">
        <v>0</v>
      </c>
      <c r="AJ473" s="351">
        <f t="shared" si="196"/>
        <v>83016.600000000006</v>
      </c>
      <c r="AK473" s="351">
        <f t="shared" si="197"/>
        <v>41508.300000000003</v>
      </c>
      <c r="AL473" s="351">
        <v>0</v>
      </c>
      <c r="AM473" s="352"/>
      <c r="AN473" s="352"/>
    </row>
    <row r="474" spans="1:40" s="19" customFormat="1" ht="9" hidden="1" customHeight="1">
      <c r="A474" s="349">
        <v>114</v>
      </c>
      <c r="B474" s="118" t="s">
        <v>732</v>
      </c>
      <c r="C474" s="343">
        <v>5609</v>
      </c>
      <c r="D474" s="343"/>
      <c r="E474" s="257"/>
      <c r="F474" s="257"/>
      <c r="G474" s="123">
        <v>4877642</v>
      </c>
      <c r="H474" s="348">
        <f t="shared" si="194"/>
        <v>0</v>
      </c>
      <c r="I474" s="129">
        <v>0</v>
      </c>
      <c r="J474" s="129">
        <v>0</v>
      </c>
      <c r="K474" s="129">
        <v>0</v>
      </c>
      <c r="L474" s="129">
        <v>0</v>
      </c>
      <c r="M474" s="129">
        <v>0</v>
      </c>
      <c r="N474" s="348">
        <v>0</v>
      </c>
      <c r="O474" s="348">
        <v>0</v>
      </c>
      <c r="P474" s="348">
        <v>0</v>
      </c>
      <c r="Q474" s="348">
        <v>0</v>
      </c>
      <c r="R474" s="348">
        <v>0</v>
      </c>
      <c r="S474" s="348">
        <v>0</v>
      </c>
      <c r="T474" s="44">
        <v>0</v>
      </c>
      <c r="U474" s="348">
        <v>0</v>
      </c>
      <c r="V474" s="257" t="s">
        <v>997</v>
      </c>
      <c r="W474" s="351">
        <v>1463</v>
      </c>
      <c r="X474" s="348">
        <f t="shared" si="195"/>
        <v>4658148.1100000003</v>
      </c>
      <c r="Y474" s="351">
        <v>0</v>
      </c>
      <c r="Z474" s="351">
        <v>0</v>
      </c>
      <c r="AA474" s="351">
        <v>0</v>
      </c>
      <c r="AB474" s="351">
        <v>0</v>
      </c>
      <c r="AC474" s="351">
        <v>0</v>
      </c>
      <c r="AD474" s="351">
        <v>0</v>
      </c>
      <c r="AE474" s="351">
        <v>0</v>
      </c>
      <c r="AF474" s="351">
        <v>0</v>
      </c>
      <c r="AG474" s="351">
        <v>0</v>
      </c>
      <c r="AH474" s="351">
        <v>0</v>
      </c>
      <c r="AI474" s="351">
        <v>0</v>
      </c>
      <c r="AJ474" s="351">
        <f t="shared" si="196"/>
        <v>146329.26</v>
      </c>
      <c r="AK474" s="351">
        <f t="shared" si="197"/>
        <v>73164.63</v>
      </c>
      <c r="AL474" s="351">
        <v>0</v>
      </c>
      <c r="AM474" s="352"/>
      <c r="AN474" s="352"/>
    </row>
    <row r="475" spans="1:40" s="19" customFormat="1" ht="9" hidden="1" customHeight="1">
      <c r="A475" s="349">
        <v>115</v>
      </c>
      <c r="B475" s="118" t="s">
        <v>733</v>
      </c>
      <c r="C475" s="343">
        <v>2070.6</v>
      </c>
      <c r="D475" s="343"/>
      <c r="E475" s="257"/>
      <c r="F475" s="257"/>
      <c r="G475" s="123">
        <v>5204374</v>
      </c>
      <c r="H475" s="348">
        <f t="shared" si="194"/>
        <v>0</v>
      </c>
      <c r="I475" s="129">
        <v>0</v>
      </c>
      <c r="J475" s="129">
        <v>0</v>
      </c>
      <c r="K475" s="129">
        <v>0</v>
      </c>
      <c r="L475" s="129">
        <v>0</v>
      </c>
      <c r="M475" s="129">
        <v>0</v>
      </c>
      <c r="N475" s="348">
        <v>0</v>
      </c>
      <c r="O475" s="348">
        <v>0</v>
      </c>
      <c r="P475" s="348">
        <v>0</v>
      </c>
      <c r="Q475" s="348">
        <v>0</v>
      </c>
      <c r="R475" s="348">
        <v>0</v>
      </c>
      <c r="S475" s="348">
        <v>0</v>
      </c>
      <c r="T475" s="44">
        <v>0</v>
      </c>
      <c r="U475" s="348">
        <v>0</v>
      </c>
      <c r="V475" s="257" t="s">
        <v>997</v>
      </c>
      <c r="W475" s="351">
        <v>1561</v>
      </c>
      <c r="X475" s="348">
        <f t="shared" si="195"/>
        <v>4970177.17</v>
      </c>
      <c r="Y475" s="351">
        <v>0</v>
      </c>
      <c r="Z475" s="351">
        <v>0</v>
      </c>
      <c r="AA475" s="351">
        <v>0</v>
      </c>
      <c r="AB475" s="351">
        <v>0</v>
      </c>
      <c r="AC475" s="351">
        <v>0</v>
      </c>
      <c r="AD475" s="351">
        <v>0</v>
      </c>
      <c r="AE475" s="351">
        <v>0</v>
      </c>
      <c r="AF475" s="351">
        <v>0</v>
      </c>
      <c r="AG475" s="351">
        <v>0</v>
      </c>
      <c r="AH475" s="351">
        <v>0</v>
      </c>
      <c r="AI475" s="351">
        <v>0</v>
      </c>
      <c r="AJ475" s="351">
        <f t="shared" si="196"/>
        <v>156131.22</v>
      </c>
      <c r="AK475" s="351">
        <f t="shared" si="197"/>
        <v>78065.61</v>
      </c>
      <c r="AL475" s="351">
        <v>0</v>
      </c>
      <c r="AM475" s="352"/>
      <c r="AN475" s="352"/>
    </row>
    <row r="476" spans="1:40" s="19" customFormat="1" ht="9" hidden="1" customHeight="1">
      <c r="A476" s="349">
        <v>116</v>
      </c>
      <c r="B476" s="118" t="s">
        <v>734</v>
      </c>
      <c r="C476" s="343">
        <v>1300</v>
      </c>
      <c r="D476" s="343"/>
      <c r="E476" s="257"/>
      <c r="F476" s="257"/>
      <c r="G476" s="123">
        <v>2564562</v>
      </c>
      <c r="H476" s="348">
        <f t="shared" si="194"/>
        <v>0</v>
      </c>
      <c r="I476" s="129">
        <v>0</v>
      </c>
      <c r="J476" s="129">
        <v>0</v>
      </c>
      <c r="K476" s="129">
        <v>0</v>
      </c>
      <c r="L476" s="129">
        <v>0</v>
      </c>
      <c r="M476" s="129">
        <v>0</v>
      </c>
      <c r="N476" s="348">
        <v>0</v>
      </c>
      <c r="O476" s="348">
        <v>0</v>
      </c>
      <c r="P476" s="348">
        <v>0</v>
      </c>
      <c r="Q476" s="348">
        <v>0</v>
      </c>
      <c r="R476" s="348">
        <v>0</v>
      </c>
      <c r="S476" s="348">
        <v>0</v>
      </c>
      <c r="T476" s="44">
        <v>0</v>
      </c>
      <c r="U476" s="348">
        <v>0</v>
      </c>
      <c r="V476" s="257" t="s">
        <v>998</v>
      </c>
      <c r="W476" s="351">
        <v>793</v>
      </c>
      <c r="X476" s="348">
        <f t="shared" si="195"/>
        <v>2449156.71</v>
      </c>
      <c r="Y476" s="351">
        <v>0</v>
      </c>
      <c r="Z476" s="351">
        <v>0</v>
      </c>
      <c r="AA476" s="351">
        <v>0</v>
      </c>
      <c r="AB476" s="351">
        <v>0</v>
      </c>
      <c r="AC476" s="351">
        <v>0</v>
      </c>
      <c r="AD476" s="351">
        <v>0</v>
      </c>
      <c r="AE476" s="351">
        <v>0</v>
      </c>
      <c r="AF476" s="351">
        <v>0</v>
      </c>
      <c r="AG476" s="351">
        <v>0</v>
      </c>
      <c r="AH476" s="351">
        <v>0</v>
      </c>
      <c r="AI476" s="351">
        <v>0</v>
      </c>
      <c r="AJ476" s="351">
        <f t="shared" si="196"/>
        <v>76936.86</v>
      </c>
      <c r="AK476" s="351">
        <f t="shared" si="197"/>
        <v>38468.43</v>
      </c>
      <c r="AL476" s="351">
        <v>0</v>
      </c>
      <c r="AM476" s="352"/>
      <c r="AN476" s="352"/>
    </row>
    <row r="477" spans="1:40" s="19" customFormat="1" ht="9" hidden="1" customHeight="1">
      <c r="A477" s="349">
        <v>117</v>
      </c>
      <c r="B477" s="118" t="s">
        <v>735</v>
      </c>
      <c r="C477" s="343">
        <v>1300</v>
      </c>
      <c r="D477" s="343"/>
      <c r="E477" s="257"/>
      <c r="F477" s="257"/>
      <c r="G477" s="123">
        <v>2564562</v>
      </c>
      <c r="H477" s="348">
        <f t="shared" si="194"/>
        <v>0</v>
      </c>
      <c r="I477" s="129">
        <v>0</v>
      </c>
      <c r="J477" s="129">
        <v>0</v>
      </c>
      <c r="K477" s="129">
        <v>0</v>
      </c>
      <c r="L477" s="129">
        <v>0</v>
      </c>
      <c r="M477" s="129">
        <v>0</v>
      </c>
      <c r="N477" s="348">
        <v>0</v>
      </c>
      <c r="O477" s="348">
        <v>0</v>
      </c>
      <c r="P477" s="348">
        <v>0</v>
      </c>
      <c r="Q477" s="348">
        <v>0</v>
      </c>
      <c r="R477" s="348">
        <v>0</v>
      </c>
      <c r="S477" s="348">
        <v>0</v>
      </c>
      <c r="T477" s="44">
        <v>0</v>
      </c>
      <c r="U477" s="348">
        <v>0</v>
      </c>
      <c r="V477" s="257" t="s">
        <v>998</v>
      </c>
      <c r="W477" s="351">
        <v>793</v>
      </c>
      <c r="X477" s="348">
        <f t="shared" si="195"/>
        <v>2449156.71</v>
      </c>
      <c r="Y477" s="351">
        <v>0</v>
      </c>
      <c r="Z477" s="351">
        <v>0</v>
      </c>
      <c r="AA477" s="351">
        <v>0</v>
      </c>
      <c r="AB477" s="351">
        <v>0</v>
      </c>
      <c r="AC477" s="351">
        <v>0</v>
      </c>
      <c r="AD477" s="351">
        <v>0</v>
      </c>
      <c r="AE477" s="351">
        <v>0</v>
      </c>
      <c r="AF477" s="351">
        <v>0</v>
      </c>
      <c r="AG477" s="351">
        <v>0</v>
      </c>
      <c r="AH477" s="351">
        <v>0</v>
      </c>
      <c r="AI477" s="351">
        <v>0</v>
      </c>
      <c r="AJ477" s="351">
        <f t="shared" si="196"/>
        <v>76936.86</v>
      </c>
      <c r="AK477" s="351">
        <f t="shared" si="197"/>
        <v>38468.43</v>
      </c>
      <c r="AL477" s="351">
        <v>0</v>
      </c>
      <c r="AM477" s="352"/>
      <c r="AN477" s="352"/>
    </row>
    <row r="478" spans="1:40" s="19" customFormat="1" ht="9" hidden="1" customHeight="1">
      <c r="A478" s="349">
        <v>118</v>
      </c>
      <c r="B478" s="118" t="s">
        <v>736</v>
      </c>
      <c r="C478" s="343">
        <v>1304.7</v>
      </c>
      <c r="D478" s="343"/>
      <c r="E478" s="257"/>
      <c r="F478" s="257"/>
      <c r="G478" s="123">
        <v>2564562</v>
      </c>
      <c r="H478" s="348">
        <f t="shared" si="194"/>
        <v>0</v>
      </c>
      <c r="I478" s="129">
        <v>0</v>
      </c>
      <c r="J478" s="129">
        <v>0</v>
      </c>
      <c r="K478" s="129">
        <v>0</v>
      </c>
      <c r="L478" s="129">
        <v>0</v>
      </c>
      <c r="M478" s="129">
        <v>0</v>
      </c>
      <c r="N478" s="348">
        <v>0</v>
      </c>
      <c r="O478" s="348">
        <v>0</v>
      </c>
      <c r="P478" s="348">
        <v>0</v>
      </c>
      <c r="Q478" s="348">
        <v>0</v>
      </c>
      <c r="R478" s="348">
        <v>0</v>
      </c>
      <c r="S478" s="348">
        <v>0</v>
      </c>
      <c r="T478" s="44">
        <v>0</v>
      </c>
      <c r="U478" s="348">
        <v>0</v>
      </c>
      <c r="V478" s="257" t="s">
        <v>998</v>
      </c>
      <c r="W478" s="351">
        <v>793</v>
      </c>
      <c r="X478" s="348">
        <f t="shared" si="195"/>
        <v>2449156.71</v>
      </c>
      <c r="Y478" s="351">
        <v>0</v>
      </c>
      <c r="Z478" s="351">
        <v>0</v>
      </c>
      <c r="AA478" s="351">
        <v>0</v>
      </c>
      <c r="AB478" s="351">
        <v>0</v>
      </c>
      <c r="AC478" s="351">
        <v>0</v>
      </c>
      <c r="AD478" s="351">
        <v>0</v>
      </c>
      <c r="AE478" s="351">
        <v>0</v>
      </c>
      <c r="AF478" s="351">
        <v>0</v>
      </c>
      <c r="AG478" s="351">
        <v>0</v>
      </c>
      <c r="AH478" s="351">
        <v>0</v>
      </c>
      <c r="AI478" s="351">
        <v>0</v>
      </c>
      <c r="AJ478" s="351">
        <f t="shared" si="196"/>
        <v>76936.86</v>
      </c>
      <c r="AK478" s="351">
        <f t="shared" si="197"/>
        <v>38468.43</v>
      </c>
      <c r="AL478" s="351">
        <v>0</v>
      </c>
      <c r="AM478" s="352"/>
      <c r="AN478" s="352"/>
    </row>
    <row r="479" spans="1:40" s="19" customFormat="1" ht="9" hidden="1" customHeight="1">
      <c r="A479" s="349">
        <v>119</v>
      </c>
      <c r="B479" s="118" t="s">
        <v>737</v>
      </c>
      <c r="C479" s="343">
        <v>1303</v>
      </c>
      <c r="D479" s="343"/>
      <c r="E479" s="257"/>
      <c r="F479" s="257"/>
      <c r="G479" s="123">
        <v>2564562</v>
      </c>
      <c r="H479" s="348">
        <f t="shared" si="194"/>
        <v>0</v>
      </c>
      <c r="I479" s="129">
        <v>0</v>
      </c>
      <c r="J479" s="129">
        <v>0</v>
      </c>
      <c r="K479" s="129">
        <v>0</v>
      </c>
      <c r="L479" s="129">
        <v>0</v>
      </c>
      <c r="M479" s="129">
        <v>0</v>
      </c>
      <c r="N479" s="348">
        <v>0</v>
      </c>
      <c r="O479" s="348">
        <v>0</v>
      </c>
      <c r="P479" s="348">
        <v>0</v>
      </c>
      <c r="Q479" s="348">
        <v>0</v>
      </c>
      <c r="R479" s="348">
        <v>0</v>
      </c>
      <c r="S479" s="348">
        <v>0</v>
      </c>
      <c r="T479" s="44">
        <v>0</v>
      </c>
      <c r="U479" s="348">
        <v>0</v>
      </c>
      <c r="V479" s="257" t="s">
        <v>998</v>
      </c>
      <c r="W479" s="351">
        <v>793</v>
      </c>
      <c r="X479" s="348">
        <f t="shared" si="195"/>
        <v>2449156.71</v>
      </c>
      <c r="Y479" s="351">
        <v>0</v>
      </c>
      <c r="Z479" s="351">
        <v>0</v>
      </c>
      <c r="AA479" s="351">
        <v>0</v>
      </c>
      <c r="AB479" s="351">
        <v>0</v>
      </c>
      <c r="AC479" s="351">
        <v>0</v>
      </c>
      <c r="AD479" s="351">
        <v>0</v>
      </c>
      <c r="AE479" s="351">
        <v>0</v>
      </c>
      <c r="AF479" s="351">
        <v>0</v>
      </c>
      <c r="AG479" s="351">
        <v>0</v>
      </c>
      <c r="AH479" s="351">
        <v>0</v>
      </c>
      <c r="AI479" s="351">
        <v>0</v>
      </c>
      <c r="AJ479" s="351">
        <f t="shared" si="196"/>
        <v>76936.86</v>
      </c>
      <c r="AK479" s="351">
        <f t="shared" si="197"/>
        <v>38468.43</v>
      </c>
      <c r="AL479" s="351">
        <v>0</v>
      </c>
      <c r="AM479" s="352"/>
      <c r="AN479" s="352"/>
    </row>
    <row r="480" spans="1:40" s="19" customFormat="1" ht="9" hidden="1" customHeight="1">
      <c r="A480" s="349">
        <v>120</v>
      </c>
      <c r="B480" s="118" t="s">
        <v>738</v>
      </c>
      <c r="C480" s="343">
        <v>1300</v>
      </c>
      <c r="D480" s="343"/>
      <c r="E480" s="257"/>
      <c r="F480" s="257"/>
      <c r="G480" s="123">
        <v>1222452</v>
      </c>
      <c r="H480" s="348">
        <f t="shared" si="194"/>
        <v>0</v>
      </c>
      <c r="I480" s="129">
        <v>0</v>
      </c>
      <c r="J480" s="129">
        <v>0</v>
      </c>
      <c r="K480" s="129">
        <v>0</v>
      </c>
      <c r="L480" s="129">
        <v>0</v>
      </c>
      <c r="M480" s="129">
        <v>0</v>
      </c>
      <c r="N480" s="348">
        <v>0</v>
      </c>
      <c r="O480" s="348">
        <v>0</v>
      </c>
      <c r="P480" s="348">
        <v>0</v>
      </c>
      <c r="Q480" s="348">
        <v>0</v>
      </c>
      <c r="R480" s="348">
        <v>0</v>
      </c>
      <c r="S480" s="348">
        <v>0</v>
      </c>
      <c r="T480" s="44">
        <v>0</v>
      </c>
      <c r="U480" s="348">
        <v>0</v>
      </c>
      <c r="V480" s="257" t="s">
        <v>998</v>
      </c>
      <c r="W480" s="351">
        <v>378</v>
      </c>
      <c r="X480" s="348">
        <f t="shared" si="195"/>
        <v>1167441.6599999999</v>
      </c>
      <c r="Y480" s="351">
        <v>0</v>
      </c>
      <c r="Z480" s="351">
        <v>0</v>
      </c>
      <c r="AA480" s="351">
        <v>0</v>
      </c>
      <c r="AB480" s="351">
        <v>0</v>
      </c>
      <c r="AC480" s="351">
        <v>0</v>
      </c>
      <c r="AD480" s="351">
        <v>0</v>
      </c>
      <c r="AE480" s="351">
        <v>0</v>
      </c>
      <c r="AF480" s="351">
        <v>0</v>
      </c>
      <c r="AG480" s="351">
        <v>0</v>
      </c>
      <c r="AH480" s="351">
        <v>0</v>
      </c>
      <c r="AI480" s="351">
        <v>0</v>
      </c>
      <c r="AJ480" s="351">
        <f t="shared" si="196"/>
        <v>36673.56</v>
      </c>
      <c r="AK480" s="351">
        <f t="shared" si="197"/>
        <v>18336.78</v>
      </c>
      <c r="AL480" s="351">
        <v>0</v>
      </c>
      <c r="AM480" s="352"/>
      <c r="AN480" s="352"/>
    </row>
    <row r="481" spans="1:40" s="19" customFormat="1" ht="9" hidden="1" customHeight="1">
      <c r="A481" s="349">
        <v>121</v>
      </c>
      <c r="B481" s="118" t="s">
        <v>739</v>
      </c>
      <c r="C481" s="343">
        <v>1303</v>
      </c>
      <c r="D481" s="343"/>
      <c r="E481" s="257"/>
      <c r="F481" s="257"/>
      <c r="G481" s="123">
        <v>2564562</v>
      </c>
      <c r="H481" s="348">
        <f t="shared" si="194"/>
        <v>0</v>
      </c>
      <c r="I481" s="129">
        <v>0</v>
      </c>
      <c r="J481" s="129">
        <v>0</v>
      </c>
      <c r="K481" s="129">
        <v>0</v>
      </c>
      <c r="L481" s="129">
        <v>0</v>
      </c>
      <c r="M481" s="129">
        <v>0</v>
      </c>
      <c r="N481" s="348">
        <v>0</v>
      </c>
      <c r="O481" s="348">
        <v>0</v>
      </c>
      <c r="P481" s="348">
        <v>0</v>
      </c>
      <c r="Q481" s="348">
        <v>0</v>
      </c>
      <c r="R481" s="348">
        <v>0</v>
      </c>
      <c r="S481" s="348">
        <v>0</v>
      </c>
      <c r="T481" s="44">
        <v>0</v>
      </c>
      <c r="U481" s="348">
        <v>0</v>
      </c>
      <c r="V481" s="257" t="s">
        <v>998</v>
      </c>
      <c r="W481" s="351">
        <v>793</v>
      </c>
      <c r="X481" s="348">
        <f t="shared" si="195"/>
        <v>2449156.71</v>
      </c>
      <c r="Y481" s="351">
        <v>0</v>
      </c>
      <c r="Z481" s="351">
        <v>0</v>
      </c>
      <c r="AA481" s="351">
        <v>0</v>
      </c>
      <c r="AB481" s="351">
        <v>0</v>
      </c>
      <c r="AC481" s="351">
        <v>0</v>
      </c>
      <c r="AD481" s="351">
        <v>0</v>
      </c>
      <c r="AE481" s="351">
        <v>0</v>
      </c>
      <c r="AF481" s="351">
        <v>0</v>
      </c>
      <c r="AG481" s="351">
        <v>0</v>
      </c>
      <c r="AH481" s="351">
        <v>0</v>
      </c>
      <c r="AI481" s="351">
        <v>0</v>
      </c>
      <c r="AJ481" s="351">
        <f t="shared" si="196"/>
        <v>76936.86</v>
      </c>
      <c r="AK481" s="351">
        <f t="shared" si="197"/>
        <v>38468.43</v>
      </c>
      <c r="AL481" s="351">
        <v>0</v>
      </c>
      <c r="AM481" s="352"/>
      <c r="AN481" s="352"/>
    </row>
    <row r="482" spans="1:40" s="19" customFormat="1" ht="9" hidden="1" customHeight="1">
      <c r="A482" s="349">
        <v>122</v>
      </c>
      <c r="B482" s="118" t="s">
        <v>740</v>
      </c>
      <c r="C482" s="343">
        <v>2162.9</v>
      </c>
      <c r="D482" s="343"/>
      <c r="E482" s="257"/>
      <c r="F482" s="257"/>
      <c r="G482" s="123">
        <v>2050410</v>
      </c>
      <c r="H482" s="348">
        <f t="shared" si="194"/>
        <v>0</v>
      </c>
      <c r="I482" s="129">
        <v>0</v>
      </c>
      <c r="J482" s="129">
        <v>0</v>
      </c>
      <c r="K482" s="129">
        <v>0</v>
      </c>
      <c r="L482" s="129">
        <v>0</v>
      </c>
      <c r="M482" s="129">
        <v>0</v>
      </c>
      <c r="N482" s="348">
        <v>0</v>
      </c>
      <c r="O482" s="348">
        <v>0</v>
      </c>
      <c r="P482" s="348">
        <v>0</v>
      </c>
      <c r="Q482" s="348">
        <v>0</v>
      </c>
      <c r="R482" s="348">
        <v>0</v>
      </c>
      <c r="S482" s="348">
        <v>0</v>
      </c>
      <c r="T482" s="44">
        <v>0</v>
      </c>
      <c r="U482" s="348">
        <v>0</v>
      </c>
      <c r="V482" s="257" t="s">
        <v>997</v>
      </c>
      <c r="W482" s="351">
        <v>615</v>
      </c>
      <c r="X482" s="348">
        <f t="shared" si="195"/>
        <v>1958141.55</v>
      </c>
      <c r="Y482" s="351">
        <v>0</v>
      </c>
      <c r="Z482" s="351">
        <v>0</v>
      </c>
      <c r="AA482" s="351">
        <v>0</v>
      </c>
      <c r="AB482" s="351">
        <v>0</v>
      </c>
      <c r="AC482" s="351">
        <v>0</v>
      </c>
      <c r="AD482" s="351">
        <v>0</v>
      </c>
      <c r="AE482" s="351">
        <v>0</v>
      </c>
      <c r="AF482" s="351">
        <v>0</v>
      </c>
      <c r="AG482" s="351">
        <v>0</v>
      </c>
      <c r="AH482" s="351">
        <v>0</v>
      </c>
      <c r="AI482" s="351">
        <v>0</v>
      </c>
      <c r="AJ482" s="351">
        <f t="shared" si="196"/>
        <v>61512.3</v>
      </c>
      <c r="AK482" s="351">
        <f t="shared" si="197"/>
        <v>30756.15</v>
      </c>
      <c r="AL482" s="351">
        <v>0</v>
      </c>
      <c r="AM482" s="352"/>
      <c r="AN482" s="352"/>
    </row>
    <row r="483" spans="1:40" s="19" customFormat="1" ht="9" hidden="1" customHeight="1">
      <c r="A483" s="349">
        <v>123</v>
      </c>
      <c r="B483" s="112" t="s">
        <v>1051</v>
      </c>
      <c r="C483" s="435">
        <v>5815.6</v>
      </c>
      <c r="D483" s="343"/>
      <c r="E483" s="259"/>
      <c r="F483" s="259"/>
      <c r="G483" s="117">
        <v>5464426</v>
      </c>
      <c r="H483" s="348">
        <f t="shared" si="194"/>
        <v>0</v>
      </c>
      <c r="I483" s="129">
        <v>0</v>
      </c>
      <c r="J483" s="129">
        <v>0</v>
      </c>
      <c r="K483" s="129">
        <v>0</v>
      </c>
      <c r="L483" s="129">
        <v>0</v>
      </c>
      <c r="M483" s="129">
        <v>0</v>
      </c>
      <c r="N483" s="348">
        <v>0</v>
      </c>
      <c r="O483" s="348">
        <v>0</v>
      </c>
      <c r="P483" s="348">
        <v>0</v>
      </c>
      <c r="Q483" s="348">
        <v>0</v>
      </c>
      <c r="R483" s="348">
        <v>0</v>
      </c>
      <c r="S483" s="348">
        <v>0</v>
      </c>
      <c r="T483" s="44">
        <v>0</v>
      </c>
      <c r="U483" s="348">
        <v>0</v>
      </c>
      <c r="V483" s="257" t="s">
        <v>997</v>
      </c>
      <c r="W483" s="351">
        <v>1639</v>
      </c>
      <c r="X483" s="348">
        <f t="shared" si="195"/>
        <v>5218526.83</v>
      </c>
      <c r="Y483" s="351">
        <v>0</v>
      </c>
      <c r="Z483" s="351">
        <v>0</v>
      </c>
      <c r="AA483" s="351">
        <v>0</v>
      </c>
      <c r="AB483" s="351">
        <v>0</v>
      </c>
      <c r="AC483" s="351">
        <v>0</v>
      </c>
      <c r="AD483" s="351">
        <v>0</v>
      </c>
      <c r="AE483" s="351">
        <v>0</v>
      </c>
      <c r="AF483" s="351">
        <v>0</v>
      </c>
      <c r="AG483" s="351">
        <v>0</v>
      </c>
      <c r="AH483" s="351">
        <v>0</v>
      </c>
      <c r="AI483" s="351">
        <v>0</v>
      </c>
      <c r="AJ483" s="351">
        <f t="shared" si="196"/>
        <v>163932.78</v>
      </c>
      <c r="AK483" s="351">
        <f t="shared" si="197"/>
        <v>81966.39</v>
      </c>
      <c r="AL483" s="351">
        <v>0</v>
      </c>
      <c r="AM483" s="352"/>
      <c r="AN483" s="352"/>
    </row>
    <row r="484" spans="1:40" s="19" customFormat="1" ht="9" hidden="1" customHeight="1">
      <c r="A484" s="349">
        <v>124</v>
      </c>
      <c r="B484" s="112" t="s">
        <v>1052</v>
      </c>
      <c r="C484" s="343">
        <v>3307.5</v>
      </c>
      <c r="D484" s="343"/>
      <c r="E484" s="259"/>
      <c r="F484" s="259"/>
      <c r="G484" s="117">
        <v>8883812.7100000009</v>
      </c>
      <c r="H484" s="348">
        <f t="shared" si="194"/>
        <v>7464077.4299999997</v>
      </c>
      <c r="I484" s="117">
        <f>ROUND(0.955*(C484*370),2)</f>
        <v>1168705.1299999999</v>
      </c>
      <c r="J484" s="129">
        <v>0</v>
      </c>
      <c r="K484" s="129">
        <f>ROUND(0.955*(C484*1200),2)</f>
        <v>3790395</v>
      </c>
      <c r="L484" s="129">
        <v>0</v>
      </c>
      <c r="M484" s="129">
        <f>ROUND(0.955*(C484*303.05),2)</f>
        <v>957232.67</v>
      </c>
      <c r="N484" s="348">
        <v>0</v>
      </c>
      <c r="O484" s="348">
        <v>0</v>
      </c>
      <c r="P484" s="348">
        <v>0</v>
      </c>
      <c r="Q484" s="348">
        <f>ROUND(0.955*(C484*270),2)</f>
        <v>852838.88</v>
      </c>
      <c r="R484" s="348">
        <v>0</v>
      </c>
      <c r="S484" s="348">
        <f>ROUND(0.955*(C484*220),2)</f>
        <v>694905.75</v>
      </c>
      <c r="T484" s="44">
        <v>0</v>
      </c>
      <c r="U484" s="348">
        <v>0</v>
      </c>
      <c r="V484" s="257"/>
      <c r="W484" s="351">
        <v>0</v>
      </c>
      <c r="X484" s="348">
        <v>0</v>
      </c>
      <c r="Y484" s="351">
        <v>0</v>
      </c>
      <c r="Z484" s="351">
        <v>0</v>
      </c>
      <c r="AA484" s="351">
        <v>0</v>
      </c>
      <c r="AB484" s="351">
        <v>0</v>
      </c>
      <c r="AC484" s="351">
        <v>0</v>
      </c>
      <c r="AD484" s="351">
        <v>0</v>
      </c>
      <c r="AE484" s="351">
        <v>0</v>
      </c>
      <c r="AF484" s="351">
        <v>0</v>
      </c>
      <c r="AG484" s="351">
        <v>0</v>
      </c>
      <c r="AH484" s="351">
        <v>0</v>
      </c>
      <c r="AI484" s="348">
        <f>ROUND(0.955*C484*322.91,2)</f>
        <v>1019963.71</v>
      </c>
      <c r="AJ484" s="351">
        <f>ROUND(0.03*(220+1200+370+270+303.05+322.91)*C484,2)</f>
        <v>266514.38</v>
      </c>
      <c r="AK484" s="351">
        <f>ROUND(0.015*(220+1200+370+270+303.05+322.91)*C484,2)</f>
        <v>133257.19</v>
      </c>
      <c r="AL484" s="351">
        <v>0</v>
      </c>
      <c r="AM484" s="352"/>
      <c r="AN484" s="352"/>
    </row>
    <row r="485" spans="1:40" s="19" customFormat="1" ht="9" hidden="1" customHeight="1">
      <c r="A485" s="349">
        <v>125</v>
      </c>
      <c r="B485" s="118" t="s">
        <v>1053</v>
      </c>
      <c r="C485" s="343">
        <v>5511.9</v>
      </c>
      <c r="D485" s="343"/>
      <c r="E485" s="257"/>
      <c r="F485" s="257"/>
      <c r="G485" s="123">
        <v>5404414</v>
      </c>
      <c r="H485" s="348">
        <f t="shared" si="194"/>
        <v>0</v>
      </c>
      <c r="I485" s="129">
        <v>0</v>
      </c>
      <c r="J485" s="129">
        <v>0</v>
      </c>
      <c r="K485" s="129">
        <v>0</v>
      </c>
      <c r="L485" s="129">
        <v>0</v>
      </c>
      <c r="M485" s="129">
        <v>0</v>
      </c>
      <c r="N485" s="348">
        <v>0</v>
      </c>
      <c r="O485" s="348">
        <v>0</v>
      </c>
      <c r="P485" s="348">
        <v>0</v>
      </c>
      <c r="Q485" s="348">
        <v>0</v>
      </c>
      <c r="R485" s="348">
        <v>0</v>
      </c>
      <c r="S485" s="348">
        <v>0</v>
      </c>
      <c r="T485" s="44">
        <v>0</v>
      </c>
      <c r="U485" s="348">
        <v>0</v>
      </c>
      <c r="V485" s="257" t="s">
        <v>997</v>
      </c>
      <c r="W485" s="351">
        <v>1621</v>
      </c>
      <c r="X485" s="348">
        <f t="shared" si="195"/>
        <v>5161215.37</v>
      </c>
      <c r="Y485" s="351">
        <v>0</v>
      </c>
      <c r="Z485" s="351">
        <v>0</v>
      </c>
      <c r="AA485" s="351">
        <v>0</v>
      </c>
      <c r="AB485" s="351">
        <v>0</v>
      </c>
      <c r="AC485" s="351">
        <v>0</v>
      </c>
      <c r="AD485" s="351">
        <v>0</v>
      </c>
      <c r="AE485" s="351">
        <v>0</v>
      </c>
      <c r="AF485" s="351">
        <v>0</v>
      </c>
      <c r="AG485" s="351">
        <v>0</v>
      </c>
      <c r="AH485" s="351">
        <v>0</v>
      </c>
      <c r="AI485" s="351">
        <v>0</v>
      </c>
      <c r="AJ485" s="351">
        <f t="shared" si="196"/>
        <v>162132.42000000001</v>
      </c>
      <c r="AK485" s="351">
        <f t="shared" si="197"/>
        <v>81066.210000000006</v>
      </c>
      <c r="AL485" s="351">
        <v>0</v>
      </c>
      <c r="AM485" s="352"/>
      <c r="AN485" s="352"/>
    </row>
    <row r="486" spans="1:40" s="19" customFormat="1" ht="9" hidden="1" customHeight="1">
      <c r="A486" s="349">
        <v>126</v>
      </c>
      <c r="B486" s="118" t="s">
        <v>1072</v>
      </c>
      <c r="C486" s="343">
        <v>8181.4000000000005</v>
      </c>
      <c r="D486" s="343"/>
      <c r="E486" s="257"/>
      <c r="F486" s="257"/>
      <c r="G486" s="117">
        <v>7854387.2000000002</v>
      </c>
      <c r="H486" s="348">
        <f t="shared" si="194"/>
        <v>0</v>
      </c>
      <c r="I486" s="129">
        <v>0</v>
      </c>
      <c r="J486" s="129">
        <v>0</v>
      </c>
      <c r="K486" s="129">
        <v>0</v>
      </c>
      <c r="L486" s="129">
        <v>0</v>
      </c>
      <c r="M486" s="129">
        <v>0</v>
      </c>
      <c r="N486" s="348">
        <v>0</v>
      </c>
      <c r="O486" s="348">
        <v>0</v>
      </c>
      <c r="P486" s="348">
        <v>0</v>
      </c>
      <c r="Q486" s="348">
        <v>0</v>
      </c>
      <c r="R486" s="348">
        <v>0</v>
      </c>
      <c r="S486" s="348">
        <v>0</v>
      </c>
      <c r="T486" s="44">
        <v>4</v>
      </c>
      <c r="U486" s="348">
        <f>ROUND(0.955*T486*1963596.8-0.01,2)</f>
        <v>7500939.7699999996</v>
      </c>
      <c r="V486" s="257"/>
      <c r="W486" s="351">
        <v>0</v>
      </c>
      <c r="X486" s="348">
        <v>0</v>
      </c>
      <c r="Y486" s="351">
        <v>0</v>
      </c>
      <c r="Z486" s="351">
        <v>0</v>
      </c>
      <c r="AA486" s="351">
        <v>0</v>
      </c>
      <c r="AB486" s="351">
        <v>0</v>
      </c>
      <c r="AC486" s="351">
        <v>0</v>
      </c>
      <c r="AD486" s="351">
        <v>0</v>
      </c>
      <c r="AE486" s="351">
        <v>0</v>
      </c>
      <c r="AF486" s="351">
        <v>0</v>
      </c>
      <c r="AG486" s="351">
        <v>0</v>
      </c>
      <c r="AH486" s="351">
        <v>0</v>
      </c>
      <c r="AI486" s="351">
        <v>0</v>
      </c>
      <c r="AJ486" s="351">
        <f t="shared" si="196"/>
        <v>235631.62</v>
      </c>
      <c r="AK486" s="351">
        <f t="shared" si="197"/>
        <v>117815.81</v>
      </c>
      <c r="AL486" s="351">
        <v>0</v>
      </c>
      <c r="AM486" s="352"/>
      <c r="AN486" s="352"/>
    </row>
    <row r="487" spans="1:40" s="19" customFormat="1" ht="9" hidden="1" customHeight="1">
      <c r="A487" s="349">
        <v>127</v>
      </c>
      <c r="B487" s="118" t="s">
        <v>1073</v>
      </c>
      <c r="C487" s="343">
        <v>9736.89</v>
      </c>
      <c r="D487" s="343"/>
      <c r="E487" s="257"/>
      <c r="F487" s="257"/>
      <c r="G487" s="117">
        <v>9817984</v>
      </c>
      <c r="H487" s="348">
        <f t="shared" si="194"/>
        <v>0</v>
      </c>
      <c r="I487" s="129">
        <v>0</v>
      </c>
      <c r="J487" s="129">
        <v>0</v>
      </c>
      <c r="K487" s="129">
        <v>0</v>
      </c>
      <c r="L487" s="129">
        <v>0</v>
      </c>
      <c r="M487" s="129">
        <v>0</v>
      </c>
      <c r="N487" s="348">
        <v>0</v>
      </c>
      <c r="O487" s="348">
        <v>0</v>
      </c>
      <c r="P487" s="348">
        <v>0</v>
      </c>
      <c r="Q487" s="348">
        <v>0</v>
      </c>
      <c r="R487" s="348">
        <v>0</v>
      </c>
      <c r="S487" s="348">
        <v>0</v>
      </c>
      <c r="T487" s="44">
        <v>5</v>
      </c>
      <c r="U487" s="348">
        <f>ROUND(0.955*T487*1963596.8,2)</f>
        <v>9376174.7200000007</v>
      </c>
      <c r="V487" s="257"/>
      <c r="W487" s="351">
        <v>0</v>
      </c>
      <c r="X487" s="348">
        <v>0</v>
      </c>
      <c r="Y487" s="351">
        <v>0</v>
      </c>
      <c r="Z487" s="351">
        <v>0</v>
      </c>
      <c r="AA487" s="351">
        <v>0</v>
      </c>
      <c r="AB487" s="351">
        <v>0</v>
      </c>
      <c r="AC487" s="351">
        <v>0</v>
      </c>
      <c r="AD487" s="351">
        <v>0</v>
      </c>
      <c r="AE487" s="351">
        <v>0</v>
      </c>
      <c r="AF487" s="351">
        <v>0</v>
      </c>
      <c r="AG487" s="351">
        <v>0</v>
      </c>
      <c r="AH487" s="351">
        <v>0</v>
      </c>
      <c r="AI487" s="351">
        <v>0</v>
      </c>
      <c r="AJ487" s="351">
        <f t="shared" si="196"/>
        <v>294539.52000000002</v>
      </c>
      <c r="AK487" s="351">
        <f t="shared" si="197"/>
        <v>147269.76000000001</v>
      </c>
      <c r="AL487" s="351">
        <v>0</v>
      </c>
      <c r="AM487" s="352"/>
      <c r="AN487" s="352"/>
    </row>
    <row r="488" spans="1:40" s="19" customFormat="1" ht="9" hidden="1" customHeight="1">
      <c r="A488" s="349">
        <v>128</v>
      </c>
      <c r="B488" s="118" t="s">
        <v>1089</v>
      </c>
      <c r="C488" s="343">
        <v>9167.8000000000011</v>
      </c>
      <c r="D488" s="343"/>
      <c r="E488" s="260"/>
      <c r="F488" s="260"/>
      <c r="G488" s="117">
        <v>10322064</v>
      </c>
      <c r="H488" s="348">
        <f t="shared" si="194"/>
        <v>0</v>
      </c>
      <c r="I488" s="129">
        <v>0</v>
      </c>
      <c r="J488" s="129">
        <v>0</v>
      </c>
      <c r="K488" s="129">
        <v>0</v>
      </c>
      <c r="L488" s="129">
        <v>0</v>
      </c>
      <c r="M488" s="129">
        <v>0</v>
      </c>
      <c r="N488" s="348">
        <v>0</v>
      </c>
      <c r="O488" s="348">
        <v>0</v>
      </c>
      <c r="P488" s="348">
        <v>0</v>
      </c>
      <c r="Q488" s="348">
        <v>0</v>
      </c>
      <c r="R488" s="348">
        <v>0</v>
      </c>
      <c r="S488" s="348">
        <v>0</v>
      </c>
      <c r="T488" s="44">
        <v>0</v>
      </c>
      <c r="U488" s="348">
        <v>0</v>
      </c>
      <c r="V488" s="257" t="s">
        <v>997</v>
      </c>
      <c r="W488" s="351">
        <v>3096</v>
      </c>
      <c r="X488" s="348">
        <f t="shared" si="195"/>
        <v>9857571.1199999992</v>
      </c>
      <c r="Y488" s="351">
        <v>0</v>
      </c>
      <c r="Z488" s="351">
        <v>0</v>
      </c>
      <c r="AA488" s="351">
        <v>0</v>
      </c>
      <c r="AB488" s="351">
        <v>0</v>
      </c>
      <c r="AC488" s="351">
        <v>0</v>
      </c>
      <c r="AD488" s="351">
        <v>0</v>
      </c>
      <c r="AE488" s="351">
        <v>0</v>
      </c>
      <c r="AF488" s="351">
        <v>0</v>
      </c>
      <c r="AG488" s="351">
        <v>0</v>
      </c>
      <c r="AH488" s="351">
        <v>0</v>
      </c>
      <c r="AI488" s="351">
        <v>0</v>
      </c>
      <c r="AJ488" s="351">
        <f t="shared" si="196"/>
        <v>309661.92</v>
      </c>
      <c r="AK488" s="351">
        <f t="shared" si="197"/>
        <v>154830.96</v>
      </c>
      <c r="AL488" s="351">
        <v>0</v>
      </c>
      <c r="AM488" s="352"/>
      <c r="AN488" s="352"/>
    </row>
    <row r="489" spans="1:40" s="19" customFormat="1" ht="9" hidden="1" customHeight="1">
      <c r="A489" s="349">
        <v>129</v>
      </c>
      <c r="B489" s="118" t="s">
        <v>1090</v>
      </c>
      <c r="C489" s="343">
        <v>4199.2</v>
      </c>
      <c r="D489" s="343"/>
      <c r="E489" s="257"/>
      <c r="F489" s="257"/>
      <c r="G489" s="117">
        <v>4037474</v>
      </c>
      <c r="H489" s="348">
        <f t="shared" si="194"/>
        <v>0</v>
      </c>
      <c r="I489" s="129">
        <v>0</v>
      </c>
      <c r="J489" s="129">
        <v>0</v>
      </c>
      <c r="K489" s="129">
        <v>0</v>
      </c>
      <c r="L489" s="129">
        <v>0</v>
      </c>
      <c r="M489" s="129">
        <v>0</v>
      </c>
      <c r="N489" s="348">
        <v>0</v>
      </c>
      <c r="O489" s="348">
        <v>0</v>
      </c>
      <c r="P489" s="348">
        <v>0</v>
      </c>
      <c r="Q489" s="348">
        <v>0</v>
      </c>
      <c r="R489" s="348">
        <v>0</v>
      </c>
      <c r="S489" s="348">
        <v>0</v>
      </c>
      <c r="T489" s="44">
        <v>0</v>
      </c>
      <c r="U489" s="348">
        <v>0</v>
      </c>
      <c r="V489" s="257" t="s">
        <v>997</v>
      </c>
      <c r="W489" s="351">
        <v>1211</v>
      </c>
      <c r="X489" s="348">
        <f t="shared" si="195"/>
        <v>3855787.67</v>
      </c>
      <c r="Y489" s="351">
        <v>0</v>
      </c>
      <c r="Z489" s="351">
        <v>0</v>
      </c>
      <c r="AA489" s="351">
        <v>0</v>
      </c>
      <c r="AB489" s="351">
        <v>0</v>
      </c>
      <c r="AC489" s="351">
        <v>0</v>
      </c>
      <c r="AD489" s="351">
        <v>0</v>
      </c>
      <c r="AE489" s="351">
        <v>0</v>
      </c>
      <c r="AF489" s="351">
        <v>0</v>
      </c>
      <c r="AG489" s="351">
        <v>0</v>
      </c>
      <c r="AH489" s="351">
        <v>0</v>
      </c>
      <c r="AI489" s="351">
        <v>0</v>
      </c>
      <c r="AJ489" s="351">
        <f t="shared" si="196"/>
        <v>121124.22</v>
      </c>
      <c r="AK489" s="351">
        <f t="shared" si="197"/>
        <v>60562.11</v>
      </c>
      <c r="AL489" s="351">
        <v>0</v>
      </c>
      <c r="AM489" s="352"/>
      <c r="AN489" s="352"/>
    </row>
    <row r="490" spans="1:40" s="19" customFormat="1" ht="9" hidden="1" customHeight="1">
      <c r="A490" s="349">
        <v>130</v>
      </c>
      <c r="B490" s="118" t="s">
        <v>1091</v>
      </c>
      <c r="C490" s="343">
        <v>2812.7</v>
      </c>
      <c r="D490" s="343"/>
      <c r="E490" s="257"/>
      <c r="F490" s="257"/>
      <c r="G490" s="117">
        <v>2440488</v>
      </c>
      <c r="H490" s="348">
        <f t="shared" si="194"/>
        <v>0</v>
      </c>
      <c r="I490" s="129">
        <v>0</v>
      </c>
      <c r="J490" s="129">
        <v>0</v>
      </c>
      <c r="K490" s="129">
        <v>0</v>
      </c>
      <c r="L490" s="129">
        <v>0</v>
      </c>
      <c r="M490" s="129">
        <v>0</v>
      </c>
      <c r="N490" s="348">
        <v>0</v>
      </c>
      <c r="O490" s="348">
        <v>0</v>
      </c>
      <c r="P490" s="348">
        <v>0</v>
      </c>
      <c r="Q490" s="348">
        <v>0</v>
      </c>
      <c r="R490" s="348">
        <v>0</v>
      </c>
      <c r="S490" s="348">
        <v>0</v>
      </c>
      <c r="T490" s="44">
        <v>0</v>
      </c>
      <c r="U490" s="348">
        <v>0</v>
      </c>
      <c r="V490" s="257" t="s">
        <v>997</v>
      </c>
      <c r="W490" s="351">
        <v>732</v>
      </c>
      <c r="X490" s="348">
        <f t="shared" si="195"/>
        <v>2330666.04</v>
      </c>
      <c r="Y490" s="351">
        <v>0</v>
      </c>
      <c r="Z490" s="351">
        <v>0</v>
      </c>
      <c r="AA490" s="351">
        <v>0</v>
      </c>
      <c r="AB490" s="351">
        <v>0</v>
      </c>
      <c r="AC490" s="351">
        <v>0</v>
      </c>
      <c r="AD490" s="351">
        <v>0</v>
      </c>
      <c r="AE490" s="351">
        <v>0</v>
      </c>
      <c r="AF490" s="351">
        <v>0</v>
      </c>
      <c r="AG490" s="351">
        <v>0</v>
      </c>
      <c r="AH490" s="351">
        <v>0</v>
      </c>
      <c r="AI490" s="351">
        <v>0</v>
      </c>
      <c r="AJ490" s="351">
        <f t="shared" si="196"/>
        <v>73214.64</v>
      </c>
      <c r="AK490" s="351">
        <f t="shared" si="197"/>
        <v>36607.32</v>
      </c>
      <c r="AL490" s="351">
        <v>0</v>
      </c>
      <c r="AM490" s="352"/>
      <c r="AN490" s="352"/>
    </row>
    <row r="491" spans="1:40" s="19" customFormat="1" ht="9" hidden="1" customHeight="1">
      <c r="A491" s="349">
        <v>131</v>
      </c>
      <c r="B491" s="118" t="s">
        <v>1092</v>
      </c>
      <c r="C491" s="343">
        <v>3204.7</v>
      </c>
      <c r="D491" s="343"/>
      <c r="E491" s="257"/>
      <c r="F491" s="257"/>
      <c r="G491" s="117">
        <v>3654420</v>
      </c>
      <c r="H491" s="348">
        <f t="shared" si="194"/>
        <v>0</v>
      </c>
      <c r="I491" s="129">
        <v>0</v>
      </c>
      <c r="J491" s="129">
        <v>0</v>
      </c>
      <c r="K491" s="129">
        <v>0</v>
      </c>
      <c r="L491" s="129">
        <v>0</v>
      </c>
      <c r="M491" s="129">
        <v>0</v>
      </c>
      <c r="N491" s="348">
        <v>0</v>
      </c>
      <c r="O491" s="348">
        <v>0</v>
      </c>
      <c r="P491" s="348">
        <v>0</v>
      </c>
      <c r="Q491" s="348">
        <v>0</v>
      </c>
      <c r="R491" s="348">
        <v>0</v>
      </c>
      <c r="S491" s="348">
        <v>0</v>
      </c>
      <c r="T491" s="44">
        <v>0</v>
      </c>
      <c r="U491" s="348">
        <v>0</v>
      </c>
      <c r="V491" s="257" t="s">
        <v>998</v>
      </c>
      <c r="W491" s="351">
        <v>1130</v>
      </c>
      <c r="X491" s="348">
        <f t="shared" si="195"/>
        <v>3489971.1</v>
      </c>
      <c r="Y491" s="351">
        <v>0</v>
      </c>
      <c r="Z491" s="351">
        <v>0</v>
      </c>
      <c r="AA491" s="351">
        <v>0</v>
      </c>
      <c r="AB491" s="351">
        <v>0</v>
      </c>
      <c r="AC491" s="351">
        <v>0</v>
      </c>
      <c r="AD491" s="351">
        <v>0</v>
      </c>
      <c r="AE491" s="351">
        <v>0</v>
      </c>
      <c r="AF491" s="351">
        <v>0</v>
      </c>
      <c r="AG491" s="351">
        <v>0</v>
      </c>
      <c r="AH491" s="351">
        <v>0</v>
      </c>
      <c r="AI491" s="351">
        <v>0</v>
      </c>
      <c r="AJ491" s="351">
        <f t="shared" si="196"/>
        <v>109632.6</v>
      </c>
      <c r="AK491" s="351">
        <f t="shared" si="197"/>
        <v>54816.3</v>
      </c>
      <c r="AL491" s="351">
        <v>0</v>
      </c>
      <c r="AM491" s="352"/>
      <c r="AN491" s="352"/>
    </row>
    <row r="492" spans="1:40" s="19" customFormat="1" ht="9" hidden="1" customHeight="1">
      <c r="A492" s="349">
        <v>132</v>
      </c>
      <c r="B492" s="118" t="s">
        <v>1131</v>
      </c>
      <c r="C492" s="123">
        <v>4613.3</v>
      </c>
      <c r="D492" s="343"/>
      <c r="E492" s="257"/>
      <c r="F492" s="257"/>
      <c r="G492" s="117">
        <f>X492+AJ492+AK492</f>
        <v>5271419.9999999991</v>
      </c>
      <c r="H492" s="348">
        <f t="shared" ref="H492" si="198">I492+K492+M492+O492+Q492+S492</f>
        <v>0</v>
      </c>
      <c r="I492" s="129">
        <v>0</v>
      </c>
      <c r="J492" s="129">
        <v>0</v>
      </c>
      <c r="K492" s="129">
        <v>0</v>
      </c>
      <c r="L492" s="129">
        <v>0</v>
      </c>
      <c r="M492" s="129">
        <v>0</v>
      </c>
      <c r="N492" s="348">
        <v>0</v>
      </c>
      <c r="O492" s="348">
        <v>0</v>
      </c>
      <c r="P492" s="348">
        <v>0</v>
      </c>
      <c r="Q492" s="348">
        <v>0</v>
      </c>
      <c r="R492" s="348">
        <v>0</v>
      </c>
      <c r="S492" s="348">
        <v>0</v>
      </c>
      <c r="T492" s="44">
        <v>0</v>
      </c>
      <c r="U492" s="348">
        <v>0</v>
      </c>
      <c r="V492" s="257" t="s">
        <v>998</v>
      </c>
      <c r="W492" s="351">
        <v>1630</v>
      </c>
      <c r="X492" s="348">
        <f>ROUND(3234*W492*0.955,2)</f>
        <v>5034206.0999999996</v>
      </c>
      <c r="Y492" s="351">
        <v>0</v>
      </c>
      <c r="Z492" s="351">
        <v>0</v>
      </c>
      <c r="AA492" s="351">
        <v>0</v>
      </c>
      <c r="AB492" s="351">
        <v>0</v>
      </c>
      <c r="AC492" s="351">
        <v>0</v>
      </c>
      <c r="AD492" s="351">
        <v>0</v>
      </c>
      <c r="AE492" s="351">
        <v>0</v>
      </c>
      <c r="AF492" s="351">
        <v>0</v>
      </c>
      <c r="AG492" s="351">
        <v>0</v>
      </c>
      <c r="AH492" s="351">
        <v>0</v>
      </c>
      <c r="AI492" s="351">
        <v>0</v>
      </c>
      <c r="AJ492" s="351">
        <f>ROUND(W492*3234*0.03,2)</f>
        <v>158142.6</v>
      </c>
      <c r="AK492" s="351">
        <f>ROUND(W492*3234*0.015,2)</f>
        <v>79071.3</v>
      </c>
      <c r="AL492" s="351">
        <v>0</v>
      </c>
      <c r="AM492" s="352"/>
      <c r="AN492" s="352"/>
    </row>
    <row r="493" spans="1:40" s="19" customFormat="1" ht="9" hidden="1" customHeight="1">
      <c r="A493" s="349">
        <v>133</v>
      </c>
      <c r="B493" s="118" t="s">
        <v>1154</v>
      </c>
      <c r="C493" s="123"/>
      <c r="D493" s="343"/>
      <c r="E493" s="257"/>
      <c r="F493" s="257"/>
      <c r="G493" s="117">
        <f>H493+U493+X493+Z493+AB493+AD493+AF493+AH493+AI493+AJ493+AK493+AL493</f>
        <v>2773888</v>
      </c>
      <c r="H493" s="348">
        <v>0</v>
      </c>
      <c r="I493" s="129">
        <v>0</v>
      </c>
      <c r="J493" s="129"/>
      <c r="K493" s="129">
        <v>0</v>
      </c>
      <c r="L493" s="129"/>
      <c r="M493" s="129">
        <v>0</v>
      </c>
      <c r="N493" s="348"/>
      <c r="O493" s="348">
        <v>0</v>
      </c>
      <c r="P493" s="348"/>
      <c r="Q493" s="348">
        <v>0</v>
      </c>
      <c r="R493" s="348"/>
      <c r="S493" s="348">
        <v>0</v>
      </c>
      <c r="T493" s="44">
        <v>0</v>
      </c>
      <c r="U493" s="348">
        <v>0</v>
      </c>
      <c r="V493" s="257" t="s">
        <v>997</v>
      </c>
      <c r="W493" s="351">
        <v>832</v>
      </c>
      <c r="X493" s="348">
        <f>ROUND(3334*W493*0.955,2)</f>
        <v>2649063.04</v>
      </c>
      <c r="Y493" s="351">
        <v>0</v>
      </c>
      <c r="Z493" s="351">
        <v>0</v>
      </c>
      <c r="AA493" s="351">
        <v>0</v>
      </c>
      <c r="AB493" s="351">
        <v>0</v>
      </c>
      <c r="AC493" s="351">
        <v>0</v>
      </c>
      <c r="AD493" s="351">
        <v>0</v>
      </c>
      <c r="AE493" s="351">
        <v>0</v>
      </c>
      <c r="AF493" s="351">
        <v>0</v>
      </c>
      <c r="AG493" s="351">
        <v>0</v>
      </c>
      <c r="AH493" s="351">
        <v>0</v>
      </c>
      <c r="AI493" s="351">
        <v>0</v>
      </c>
      <c r="AJ493" s="351">
        <f>ROUND(W493*3334*0.03,2)</f>
        <v>83216.639999999999</v>
      </c>
      <c r="AK493" s="351">
        <f>ROUND(W493*3334*0.015,2)</f>
        <v>41608.32</v>
      </c>
      <c r="AL493" s="351">
        <v>0</v>
      </c>
      <c r="AM493" s="352"/>
      <c r="AN493" s="352"/>
    </row>
    <row r="494" spans="1:40" s="19" customFormat="1" ht="23.25" hidden="1" customHeight="1">
      <c r="A494" s="599" t="s">
        <v>107</v>
      </c>
      <c r="B494" s="599"/>
      <c r="C494" s="348">
        <f>SUM(C361:C492)</f>
        <v>510810.73</v>
      </c>
      <c r="D494" s="248"/>
      <c r="E494" s="348"/>
      <c r="F494" s="348"/>
      <c r="G494" s="348">
        <f>SUM(G361:G493)</f>
        <v>523534984.18999994</v>
      </c>
      <c r="H494" s="348">
        <f>SUM(H361:H493)</f>
        <v>18422190.550000001</v>
      </c>
      <c r="I494" s="348">
        <f>SUM(I361:I493)</f>
        <v>2414193.21</v>
      </c>
      <c r="J494" s="348">
        <f t="shared" ref="J494:R494" si="199">SUM(J361:J492)</f>
        <v>0</v>
      </c>
      <c r="K494" s="348">
        <f>SUM(K361:K493)</f>
        <v>11454843</v>
      </c>
      <c r="L494" s="348">
        <f t="shared" si="199"/>
        <v>0</v>
      </c>
      <c r="M494" s="348">
        <f>SUM(M361:M493)</f>
        <v>957232.67</v>
      </c>
      <c r="N494" s="348">
        <f t="shared" si="199"/>
        <v>0</v>
      </c>
      <c r="O494" s="348">
        <f>SUM(O361:O493)</f>
        <v>2048177.04</v>
      </c>
      <c r="P494" s="348">
        <f t="shared" si="199"/>
        <v>0</v>
      </c>
      <c r="Q494" s="348">
        <f>SUM(Q361:Q493)</f>
        <v>852838.88</v>
      </c>
      <c r="R494" s="348">
        <f t="shared" si="199"/>
        <v>0</v>
      </c>
      <c r="S494" s="348">
        <f>SUM(S361:S493)</f>
        <v>694905.75</v>
      </c>
      <c r="T494" s="44">
        <f>SUM(T361:T493)</f>
        <v>9</v>
      </c>
      <c r="U494" s="348">
        <f>SUM(U361:U493)</f>
        <v>16877114.490000002</v>
      </c>
      <c r="V494" s="348" t="s">
        <v>387</v>
      </c>
      <c r="W494" s="348">
        <f t="shared" ref="W494:AB494" si="200">SUM(W361:W493)</f>
        <v>145902.90000000002</v>
      </c>
      <c r="X494" s="348">
        <f t="shared" si="200"/>
        <v>461520145.98999995</v>
      </c>
      <c r="Y494" s="348">
        <f t="shared" si="200"/>
        <v>0</v>
      </c>
      <c r="Z494" s="348">
        <f t="shared" si="200"/>
        <v>0</v>
      </c>
      <c r="AA494" s="348">
        <f t="shared" si="200"/>
        <v>0</v>
      </c>
      <c r="AB494" s="348">
        <f t="shared" si="200"/>
        <v>0</v>
      </c>
      <c r="AC494" s="348">
        <f t="shared" ref="AC494:AL494" si="201">SUM(AC361:AC493)</f>
        <v>0</v>
      </c>
      <c r="AD494" s="348">
        <f t="shared" si="201"/>
        <v>0</v>
      </c>
      <c r="AE494" s="348">
        <f t="shared" si="201"/>
        <v>0</v>
      </c>
      <c r="AF494" s="348">
        <f t="shared" si="201"/>
        <v>0</v>
      </c>
      <c r="AG494" s="348">
        <f t="shared" si="201"/>
        <v>0</v>
      </c>
      <c r="AH494" s="348">
        <f t="shared" si="201"/>
        <v>0</v>
      </c>
      <c r="AI494" s="348">
        <f t="shared" si="201"/>
        <v>3156458.85</v>
      </c>
      <c r="AJ494" s="348">
        <f t="shared" si="201"/>
        <v>15706049.529999999</v>
      </c>
      <c r="AK494" s="348">
        <f t="shared" si="201"/>
        <v>7853024.7699999996</v>
      </c>
      <c r="AL494" s="348">
        <f t="shared" si="201"/>
        <v>0</v>
      </c>
      <c r="AM494" s="352"/>
      <c r="AN494" s="352"/>
    </row>
    <row r="495" spans="1:40" s="19" customFormat="1" ht="15" hidden="1" customHeight="1">
      <c r="A495" s="519" t="s">
        <v>219</v>
      </c>
      <c r="B495" s="520"/>
      <c r="C495" s="520"/>
      <c r="D495" s="520"/>
      <c r="E495" s="520"/>
      <c r="F495" s="520"/>
      <c r="G495" s="520"/>
      <c r="H495" s="520"/>
      <c r="I495" s="520"/>
      <c r="J495" s="520"/>
      <c r="K495" s="520"/>
      <c r="L495" s="520"/>
      <c r="M495" s="520"/>
      <c r="N495" s="520"/>
      <c r="O495" s="520"/>
      <c r="P495" s="520"/>
      <c r="Q495" s="520"/>
      <c r="R495" s="520"/>
      <c r="S495" s="520"/>
      <c r="T495" s="520"/>
      <c r="U495" s="520"/>
      <c r="V495" s="520"/>
      <c r="W495" s="520"/>
      <c r="X495" s="520"/>
      <c r="Y495" s="520"/>
      <c r="Z495" s="520"/>
      <c r="AA495" s="520"/>
      <c r="AB495" s="520"/>
      <c r="AC495" s="520"/>
      <c r="AD495" s="520"/>
      <c r="AE495" s="520"/>
      <c r="AF495" s="520"/>
      <c r="AG495" s="520"/>
      <c r="AH495" s="520"/>
      <c r="AI495" s="520"/>
      <c r="AJ495" s="520"/>
      <c r="AK495" s="520"/>
      <c r="AL495" s="521"/>
      <c r="AM495" s="352"/>
      <c r="AN495" s="352"/>
    </row>
    <row r="496" spans="1:40" s="19" customFormat="1" ht="9" hidden="1" customHeight="1">
      <c r="A496" s="349">
        <v>134</v>
      </c>
      <c r="B496" s="205" t="s">
        <v>751</v>
      </c>
      <c r="C496" s="209">
        <v>977.9</v>
      </c>
      <c r="D496" s="343"/>
      <c r="E496" s="436"/>
      <c r="F496" s="436"/>
      <c r="G496" s="209">
        <v>1911940.8</v>
      </c>
      <c r="H496" s="348">
        <f t="shared" ref="H496:H497" si="202">I496+K496+M496+O496+Q496+S496</f>
        <v>0</v>
      </c>
      <c r="I496" s="129">
        <v>0</v>
      </c>
      <c r="J496" s="129">
        <v>0</v>
      </c>
      <c r="K496" s="129">
        <v>0</v>
      </c>
      <c r="L496" s="129">
        <v>0</v>
      </c>
      <c r="M496" s="129">
        <v>0</v>
      </c>
      <c r="N496" s="348">
        <v>0</v>
      </c>
      <c r="O496" s="348">
        <v>0</v>
      </c>
      <c r="P496" s="348">
        <v>0</v>
      </c>
      <c r="Q496" s="348">
        <v>0</v>
      </c>
      <c r="R496" s="348">
        <v>0</v>
      </c>
      <c r="S496" s="348">
        <v>0</v>
      </c>
      <c r="T496" s="44">
        <v>0</v>
      </c>
      <c r="U496" s="348">
        <v>0</v>
      </c>
      <c r="V496" s="436" t="s">
        <v>998</v>
      </c>
      <c r="W496" s="351">
        <v>591.1</v>
      </c>
      <c r="X496" s="348">
        <f>ROUND(G496/100*95.5+0.01,2)</f>
        <v>1825903.47</v>
      </c>
      <c r="Y496" s="351">
        <v>0</v>
      </c>
      <c r="Z496" s="351">
        <v>0</v>
      </c>
      <c r="AA496" s="351">
        <v>0</v>
      </c>
      <c r="AB496" s="351">
        <v>0</v>
      </c>
      <c r="AC496" s="351">
        <v>0</v>
      </c>
      <c r="AD496" s="351">
        <v>0</v>
      </c>
      <c r="AE496" s="351">
        <v>0</v>
      </c>
      <c r="AF496" s="351">
        <v>0</v>
      </c>
      <c r="AG496" s="351">
        <v>0</v>
      </c>
      <c r="AH496" s="351">
        <v>0</v>
      </c>
      <c r="AI496" s="351">
        <v>0</v>
      </c>
      <c r="AJ496" s="351">
        <f t="shared" ref="AJ496:AJ497" si="203">ROUND(G496/100*3,2)</f>
        <v>57358.22</v>
      </c>
      <c r="AK496" s="351">
        <f t="shared" ref="AK496:AK497" si="204">ROUND(G496/100*1.5,2)</f>
        <v>28679.11</v>
      </c>
      <c r="AL496" s="351">
        <v>0</v>
      </c>
      <c r="AM496" s="352"/>
      <c r="AN496" s="352"/>
    </row>
    <row r="497" spans="1:40" s="19" customFormat="1" ht="9" hidden="1" customHeight="1">
      <c r="A497" s="349">
        <v>135</v>
      </c>
      <c r="B497" s="205" t="s">
        <v>752</v>
      </c>
      <c r="C497" s="209">
        <v>2743.8</v>
      </c>
      <c r="D497" s="343"/>
      <c r="E497" s="436"/>
      <c r="F497" s="436"/>
      <c r="G497" s="209">
        <v>3638727.6</v>
      </c>
      <c r="H497" s="348">
        <f t="shared" si="202"/>
        <v>0</v>
      </c>
      <c r="I497" s="129">
        <v>0</v>
      </c>
      <c r="J497" s="129">
        <v>0</v>
      </c>
      <c r="K497" s="129">
        <v>0</v>
      </c>
      <c r="L497" s="129">
        <v>0</v>
      </c>
      <c r="M497" s="129">
        <v>0</v>
      </c>
      <c r="N497" s="348">
        <v>0</v>
      </c>
      <c r="O497" s="348">
        <v>0</v>
      </c>
      <c r="P497" s="348">
        <v>0</v>
      </c>
      <c r="Q497" s="348">
        <v>0</v>
      </c>
      <c r="R497" s="348">
        <v>0</v>
      </c>
      <c r="S497" s="348">
        <v>0</v>
      </c>
      <c r="T497" s="44">
        <v>0</v>
      </c>
      <c r="U497" s="348">
        <v>0</v>
      </c>
      <c r="V497" s="436" t="s">
        <v>997</v>
      </c>
      <c r="W497" s="351">
        <v>843.7</v>
      </c>
      <c r="X497" s="348">
        <f t="shared" ref="X497" si="205">ROUND(G497/100*95.5,2)</f>
        <v>3474984.86</v>
      </c>
      <c r="Y497" s="351">
        <v>0</v>
      </c>
      <c r="Z497" s="351">
        <v>0</v>
      </c>
      <c r="AA497" s="351">
        <v>0</v>
      </c>
      <c r="AB497" s="351">
        <v>0</v>
      </c>
      <c r="AC497" s="351">
        <v>0</v>
      </c>
      <c r="AD497" s="351">
        <v>0</v>
      </c>
      <c r="AE497" s="351">
        <v>0</v>
      </c>
      <c r="AF497" s="351">
        <v>0</v>
      </c>
      <c r="AG497" s="351">
        <v>0</v>
      </c>
      <c r="AH497" s="351">
        <v>0</v>
      </c>
      <c r="AI497" s="351">
        <v>0</v>
      </c>
      <c r="AJ497" s="351">
        <f t="shared" si="203"/>
        <v>109161.83</v>
      </c>
      <c r="AK497" s="351">
        <f t="shared" si="204"/>
        <v>54580.91</v>
      </c>
      <c r="AL497" s="351">
        <v>0</v>
      </c>
      <c r="AM497" s="352"/>
      <c r="AN497" s="352"/>
    </row>
    <row r="498" spans="1:40" s="19" customFormat="1" ht="9" hidden="1" customHeight="1">
      <c r="A498" s="349">
        <v>136</v>
      </c>
      <c r="B498" s="205" t="s">
        <v>753</v>
      </c>
      <c r="C498" s="209">
        <v>5959.5</v>
      </c>
      <c r="D498" s="343"/>
      <c r="E498" s="436"/>
      <c r="F498" s="436"/>
      <c r="G498" s="209">
        <v>6041208</v>
      </c>
      <c r="H498" s="348">
        <f t="shared" ref="H498:H502" si="206">I498+K498+M498+O498+Q498+S498</f>
        <v>0</v>
      </c>
      <c r="I498" s="129">
        <v>0</v>
      </c>
      <c r="J498" s="129">
        <v>0</v>
      </c>
      <c r="K498" s="129">
        <v>0</v>
      </c>
      <c r="L498" s="129">
        <v>0</v>
      </c>
      <c r="M498" s="129">
        <v>0</v>
      </c>
      <c r="N498" s="348">
        <v>0</v>
      </c>
      <c r="O498" s="348">
        <v>0</v>
      </c>
      <c r="P498" s="348">
        <v>0</v>
      </c>
      <c r="Q498" s="348">
        <v>0</v>
      </c>
      <c r="R498" s="348">
        <v>0</v>
      </c>
      <c r="S498" s="348">
        <v>0</v>
      </c>
      <c r="T498" s="44">
        <v>0</v>
      </c>
      <c r="U498" s="348">
        <v>0</v>
      </c>
      <c r="V498" s="436" t="s">
        <v>997</v>
      </c>
      <c r="W498" s="351">
        <v>2052.4</v>
      </c>
      <c r="X498" s="348">
        <f t="shared" ref="X498:X502" si="207">ROUND(G498/100*95.5,2)</f>
        <v>5769353.6399999997</v>
      </c>
      <c r="Y498" s="351">
        <v>0</v>
      </c>
      <c r="Z498" s="351">
        <v>0</v>
      </c>
      <c r="AA498" s="351">
        <v>0</v>
      </c>
      <c r="AB498" s="351">
        <v>0</v>
      </c>
      <c r="AC498" s="351">
        <v>0</v>
      </c>
      <c r="AD498" s="351">
        <v>0</v>
      </c>
      <c r="AE498" s="351">
        <v>0</v>
      </c>
      <c r="AF498" s="351">
        <v>0</v>
      </c>
      <c r="AG498" s="351">
        <v>0</v>
      </c>
      <c r="AH498" s="351">
        <v>0</v>
      </c>
      <c r="AI498" s="351">
        <v>0</v>
      </c>
      <c r="AJ498" s="351">
        <f t="shared" ref="AJ498:AJ502" si="208">ROUND(G498/100*3,2)</f>
        <v>181236.24</v>
      </c>
      <c r="AK498" s="351">
        <f t="shared" ref="AK498:AK502" si="209">ROUND(G498/100*1.5,2)</f>
        <v>90618.12</v>
      </c>
      <c r="AL498" s="351">
        <v>0</v>
      </c>
      <c r="AM498" s="352"/>
      <c r="AN498" s="352"/>
    </row>
    <row r="499" spans="1:40" s="19" customFormat="1" ht="9" hidden="1" customHeight="1">
      <c r="A499" s="349">
        <v>137</v>
      </c>
      <c r="B499" s="205" t="s">
        <v>754</v>
      </c>
      <c r="C499" s="209">
        <v>5145.8</v>
      </c>
      <c r="D499" s="343"/>
      <c r="E499" s="436"/>
      <c r="F499" s="436"/>
      <c r="G499" s="209">
        <v>4940988</v>
      </c>
      <c r="H499" s="348">
        <f t="shared" si="206"/>
        <v>0</v>
      </c>
      <c r="I499" s="129">
        <v>0</v>
      </c>
      <c r="J499" s="129">
        <v>0</v>
      </c>
      <c r="K499" s="129">
        <v>0</v>
      </c>
      <c r="L499" s="129">
        <v>0</v>
      </c>
      <c r="M499" s="129">
        <v>0</v>
      </c>
      <c r="N499" s="348">
        <v>0</v>
      </c>
      <c r="O499" s="348">
        <v>0</v>
      </c>
      <c r="P499" s="348">
        <v>0</v>
      </c>
      <c r="Q499" s="348">
        <v>0</v>
      </c>
      <c r="R499" s="348">
        <v>0</v>
      </c>
      <c r="S499" s="348">
        <v>0</v>
      </c>
      <c r="T499" s="44">
        <v>0</v>
      </c>
      <c r="U499" s="348">
        <v>0</v>
      </c>
      <c r="V499" s="436" t="s">
        <v>997</v>
      </c>
      <c r="W499" s="351">
        <v>1832.9</v>
      </c>
      <c r="X499" s="348">
        <f t="shared" si="207"/>
        <v>4718643.54</v>
      </c>
      <c r="Y499" s="351">
        <v>0</v>
      </c>
      <c r="Z499" s="351">
        <v>0</v>
      </c>
      <c r="AA499" s="351">
        <v>0</v>
      </c>
      <c r="AB499" s="351">
        <v>0</v>
      </c>
      <c r="AC499" s="351">
        <v>0</v>
      </c>
      <c r="AD499" s="351">
        <v>0</v>
      </c>
      <c r="AE499" s="351">
        <v>0</v>
      </c>
      <c r="AF499" s="351">
        <v>0</v>
      </c>
      <c r="AG499" s="351">
        <v>0</v>
      </c>
      <c r="AH499" s="351">
        <v>0</v>
      </c>
      <c r="AI499" s="351">
        <v>0</v>
      </c>
      <c r="AJ499" s="351">
        <f t="shared" si="208"/>
        <v>148229.64000000001</v>
      </c>
      <c r="AK499" s="351">
        <f t="shared" si="209"/>
        <v>74114.820000000007</v>
      </c>
      <c r="AL499" s="351">
        <v>0</v>
      </c>
      <c r="AM499" s="352"/>
      <c r="AN499" s="352"/>
    </row>
    <row r="500" spans="1:40" s="19" customFormat="1" ht="9" hidden="1" customHeight="1">
      <c r="A500" s="349">
        <v>138</v>
      </c>
      <c r="B500" s="205" t="s">
        <v>755</v>
      </c>
      <c r="C500" s="209">
        <v>1529.4</v>
      </c>
      <c r="D500" s="343"/>
      <c r="E500" s="436"/>
      <c r="F500" s="436"/>
      <c r="G500" s="209">
        <v>3069066</v>
      </c>
      <c r="H500" s="348">
        <f t="shared" si="206"/>
        <v>0</v>
      </c>
      <c r="I500" s="129">
        <v>0</v>
      </c>
      <c r="J500" s="129">
        <v>0</v>
      </c>
      <c r="K500" s="129">
        <v>0</v>
      </c>
      <c r="L500" s="129">
        <v>0</v>
      </c>
      <c r="M500" s="129">
        <v>0</v>
      </c>
      <c r="N500" s="348">
        <v>0</v>
      </c>
      <c r="O500" s="348">
        <v>0</v>
      </c>
      <c r="P500" s="348">
        <v>0</v>
      </c>
      <c r="Q500" s="348">
        <v>0</v>
      </c>
      <c r="R500" s="348">
        <v>0</v>
      </c>
      <c r="S500" s="348">
        <v>0</v>
      </c>
      <c r="T500" s="44">
        <v>0</v>
      </c>
      <c r="U500" s="348">
        <v>0</v>
      </c>
      <c r="V500" s="436" t="s">
        <v>998</v>
      </c>
      <c r="W500" s="351">
        <v>949.1</v>
      </c>
      <c r="X500" s="348">
        <f t="shared" si="207"/>
        <v>2930958.03</v>
      </c>
      <c r="Y500" s="351">
        <v>0</v>
      </c>
      <c r="Z500" s="351">
        <v>0</v>
      </c>
      <c r="AA500" s="351">
        <v>0</v>
      </c>
      <c r="AB500" s="351">
        <v>0</v>
      </c>
      <c r="AC500" s="351">
        <v>0</v>
      </c>
      <c r="AD500" s="351">
        <v>0</v>
      </c>
      <c r="AE500" s="351">
        <v>0</v>
      </c>
      <c r="AF500" s="351">
        <v>0</v>
      </c>
      <c r="AG500" s="351">
        <v>0</v>
      </c>
      <c r="AH500" s="351">
        <v>0</v>
      </c>
      <c r="AI500" s="351">
        <v>0</v>
      </c>
      <c r="AJ500" s="351">
        <f t="shared" si="208"/>
        <v>92071.98</v>
      </c>
      <c r="AK500" s="351">
        <f t="shared" si="209"/>
        <v>46035.99</v>
      </c>
      <c r="AL500" s="351">
        <v>0</v>
      </c>
      <c r="AM500" s="352"/>
      <c r="AN500" s="352"/>
    </row>
    <row r="501" spans="1:40" s="19" customFormat="1" ht="9" hidden="1" customHeight="1">
      <c r="A501" s="349">
        <v>139</v>
      </c>
      <c r="B501" s="205" t="s">
        <v>756</v>
      </c>
      <c r="C501" s="209">
        <v>1518.2</v>
      </c>
      <c r="D501" s="343"/>
      <c r="E501" s="436"/>
      <c r="F501" s="436"/>
      <c r="G501" s="209">
        <v>3069066</v>
      </c>
      <c r="H501" s="348">
        <f t="shared" si="206"/>
        <v>0</v>
      </c>
      <c r="I501" s="129">
        <v>0</v>
      </c>
      <c r="J501" s="129">
        <v>0</v>
      </c>
      <c r="K501" s="129">
        <v>0</v>
      </c>
      <c r="L501" s="129">
        <v>0</v>
      </c>
      <c r="M501" s="129">
        <v>0</v>
      </c>
      <c r="N501" s="348">
        <v>0</v>
      </c>
      <c r="O501" s="348">
        <v>0</v>
      </c>
      <c r="P501" s="348">
        <v>0</v>
      </c>
      <c r="Q501" s="348">
        <v>0</v>
      </c>
      <c r="R501" s="348">
        <v>0</v>
      </c>
      <c r="S501" s="348">
        <v>0</v>
      </c>
      <c r="T501" s="44">
        <v>0</v>
      </c>
      <c r="U501" s="348">
        <v>0</v>
      </c>
      <c r="V501" s="436" t="s">
        <v>998</v>
      </c>
      <c r="W501" s="351">
        <v>949.2</v>
      </c>
      <c r="X501" s="348">
        <f t="shared" si="207"/>
        <v>2930958.03</v>
      </c>
      <c r="Y501" s="351">
        <v>0</v>
      </c>
      <c r="Z501" s="351">
        <v>0</v>
      </c>
      <c r="AA501" s="351">
        <v>0</v>
      </c>
      <c r="AB501" s="351">
        <v>0</v>
      </c>
      <c r="AC501" s="351">
        <v>0</v>
      </c>
      <c r="AD501" s="351">
        <v>0</v>
      </c>
      <c r="AE501" s="351">
        <v>0</v>
      </c>
      <c r="AF501" s="351">
        <v>0</v>
      </c>
      <c r="AG501" s="351">
        <v>0</v>
      </c>
      <c r="AH501" s="351">
        <v>0</v>
      </c>
      <c r="AI501" s="351">
        <v>0</v>
      </c>
      <c r="AJ501" s="351">
        <f t="shared" si="208"/>
        <v>92071.98</v>
      </c>
      <c r="AK501" s="351">
        <f t="shared" si="209"/>
        <v>46035.99</v>
      </c>
      <c r="AL501" s="351">
        <v>0</v>
      </c>
      <c r="AM501" s="352"/>
      <c r="AN501" s="352"/>
    </row>
    <row r="502" spans="1:40" s="19" customFormat="1" ht="9" hidden="1" customHeight="1">
      <c r="A502" s="349">
        <v>140</v>
      </c>
      <c r="B502" s="205" t="s">
        <v>757</v>
      </c>
      <c r="C502" s="209">
        <v>1790.8</v>
      </c>
      <c r="D502" s="343"/>
      <c r="E502" s="436"/>
      <c r="F502" s="436"/>
      <c r="G502" s="209">
        <v>3654420</v>
      </c>
      <c r="H502" s="348">
        <f t="shared" si="206"/>
        <v>0</v>
      </c>
      <c r="I502" s="129">
        <v>0</v>
      </c>
      <c r="J502" s="129">
        <v>0</v>
      </c>
      <c r="K502" s="129">
        <v>0</v>
      </c>
      <c r="L502" s="129">
        <v>0</v>
      </c>
      <c r="M502" s="129">
        <v>0</v>
      </c>
      <c r="N502" s="348">
        <v>0</v>
      </c>
      <c r="O502" s="348">
        <v>0</v>
      </c>
      <c r="P502" s="348">
        <v>0</v>
      </c>
      <c r="Q502" s="348">
        <v>0</v>
      </c>
      <c r="R502" s="348">
        <v>0</v>
      </c>
      <c r="S502" s="348">
        <v>0</v>
      </c>
      <c r="T502" s="44">
        <v>0</v>
      </c>
      <c r="U502" s="348">
        <v>0</v>
      </c>
      <c r="V502" s="436" t="s">
        <v>998</v>
      </c>
      <c r="W502" s="351">
        <v>1130</v>
      </c>
      <c r="X502" s="348">
        <f t="shared" si="207"/>
        <v>3489971.1</v>
      </c>
      <c r="Y502" s="351">
        <v>0</v>
      </c>
      <c r="Z502" s="351">
        <v>0</v>
      </c>
      <c r="AA502" s="351">
        <v>0</v>
      </c>
      <c r="AB502" s="351">
        <v>0</v>
      </c>
      <c r="AC502" s="351">
        <v>0</v>
      </c>
      <c r="AD502" s="351">
        <v>0</v>
      </c>
      <c r="AE502" s="351">
        <v>0</v>
      </c>
      <c r="AF502" s="351">
        <v>0</v>
      </c>
      <c r="AG502" s="351">
        <v>0</v>
      </c>
      <c r="AH502" s="351">
        <v>0</v>
      </c>
      <c r="AI502" s="351">
        <v>0</v>
      </c>
      <c r="AJ502" s="351">
        <f t="shared" si="208"/>
        <v>109632.6</v>
      </c>
      <c r="AK502" s="351">
        <f t="shared" si="209"/>
        <v>54816.3</v>
      </c>
      <c r="AL502" s="351">
        <v>0</v>
      </c>
      <c r="AM502" s="352"/>
      <c r="AN502" s="352"/>
    </row>
    <row r="503" spans="1:40" s="19" customFormat="1" ht="24.75" hidden="1" customHeight="1">
      <c r="A503" s="599" t="s">
        <v>220</v>
      </c>
      <c r="B503" s="599"/>
      <c r="C503" s="348">
        <f>SUM(C496:C502)</f>
        <v>19665.399999999998</v>
      </c>
      <c r="D503" s="248"/>
      <c r="E503" s="225"/>
      <c r="F503" s="225"/>
      <c r="G503" s="348">
        <f>SUM(G496:G502)</f>
        <v>26325416.399999999</v>
      </c>
      <c r="H503" s="348">
        <f t="shared" ref="H503:AL503" si="210">SUM(H496:H502)</f>
        <v>0</v>
      </c>
      <c r="I503" s="348">
        <f t="shared" si="210"/>
        <v>0</v>
      </c>
      <c r="J503" s="348">
        <f t="shared" si="210"/>
        <v>0</v>
      </c>
      <c r="K503" s="348">
        <f t="shared" si="210"/>
        <v>0</v>
      </c>
      <c r="L503" s="348">
        <f t="shared" si="210"/>
        <v>0</v>
      </c>
      <c r="M503" s="348">
        <f t="shared" si="210"/>
        <v>0</v>
      </c>
      <c r="N503" s="348">
        <f t="shared" si="210"/>
        <v>0</v>
      </c>
      <c r="O503" s="348">
        <f t="shared" si="210"/>
        <v>0</v>
      </c>
      <c r="P503" s="348">
        <f t="shared" si="210"/>
        <v>0</v>
      </c>
      <c r="Q503" s="348">
        <f t="shared" si="210"/>
        <v>0</v>
      </c>
      <c r="R503" s="348">
        <f t="shared" si="210"/>
        <v>0</v>
      </c>
      <c r="S503" s="348">
        <f t="shared" si="210"/>
        <v>0</v>
      </c>
      <c r="T503" s="44">
        <f t="shared" si="210"/>
        <v>0</v>
      </c>
      <c r="U503" s="348">
        <f t="shared" si="210"/>
        <v>0</v>
      </c>
      <c r="V503" s="225" t="s">
        <v>387</v>
      </c>
      <c r="W503" s="348">
        <f t="shared" si="210"/>
        <v>8348.4000000000015</v>
      </c>
      <c r="X503" s="348">
        <f t="shared" si="210"/>
        <v>25140772.670000002</v>
      </c>
      <c r="Y503" s="348">
        <f t="shared" si="210"/>
        <v>0</v>
      </c>
      <c r="Z503" s="348">
        <f t="shared" si="210"/>
        <v>0</v>
      </c>
      <c r="AA503" s="348">
        <f t="shared" si="210"/>
        <v>0</v>
      </c>
      <c r="AB503" s="348">
        <f t="shared" si="210"/>
        <v>0</v>
      </c>
      <c r="AC503" s="348">
        <f t="shared" si="210"/>
        <v>0</v>
      </c>
      <c r="AD503" s="348">
        <f t="shared" si="210"/>
        <v>0</v>
      </c>
      <c r="AE503" s="348">
        <f t="shared" si="210"/>
        <v>0</v>
      </c>
      <c r="AF503" s="348">
        <f t="shared" si="210"/>
        <v>0</v>
      </c>
      <c r="AG503" s="348">
        <f t="shared" si="210"/>
        <v>0</v>
      </c>
      <c r="AH503" s="348">
        <f t="shared" si="210"/>
        <v>0</v>
      </c>
      <c r="AI503" s="348">
        <f t="shared" si="210"/>
        <v>0</v>
      </c>
      <c r="AJ503" s="348">
        <f t="shared" si="210"/>
        <v>789762.49</v>
      </c>
      <c r="AK503" s="348">
        <f t="shared" si="210"/>
        <v>394881.24</v>
      </c>
      <c r="AL503" s="348">
        <f t="shared" si="210"/>
        <v>0</v>
      </c>
      <c r="AM503" s="352"/>
      <c r="AN503" s="352"/>
    </row>
    <row r="504" spans="1:40" s="19" customFormat="1" ht="12" hidden="1" customHeight="1">
      <c r="A504" s="519" t="s">
        <v>229</v>
      </c>
      <c r="B504" s="520"/>
      <c r="C504" s="520"/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  <c r="N504" s="520"/>
      <c r="O504" s="520"/>
      <c r="P504" s="520"/>
      <c r="Q504" s="520"/>
      <c r="R504" s="520"/>
      <c r="S504" s="520"/>
      <c r="T504" s="520"/>
      <c r="U504" s="520"/>
      <c r="V504" s="520"/>
      <c r="W504" s="520"/>
      <c r="X504" s="520"/>
      <c r="Y504" s="520"/>
      <c r="Z504" s="520"/>
      <c r="AA504" s="520"/>
      <c r="AB504" s="520"/>
      <c r="AC504" s="520"/>
      <c r="AD504" s="520"/>
      <c r="AE504" s="520"/>
      <c r="AF504" s="520"/>
      <c r="AG504" s="520"/>
      <c r="AH504" s="520"/>
      <c r="AI504" s="520"/>
      <c r="AJ504" s="520"/>
      <c r="AK504" s="520"/>
      <c r="AL504" s="521"/>
      <c r="AM504" s="352"/>
      <c r="AN504" s="352"/>
    </row>
    <row r="505" spans="1:40" s="19" customFormat="1" ht="9" hidden="1" customHeight="1">
      <c r="A505" s="349">
        <v>141</v>
      </c>
      <c r="B505" s="193" t="s">
        <v>773</v>
      </c>
      <c r="C505" s="197">
        <v>4065.4</v>
      </c>
      <c r="D505" s="343"/>
      <c r="E505" s="437"/>
      <c r="F505" s="437"/>
      <c r="G505" s="197">
        <v>3990798</v>
      </c>
      <c r="H505" s="348">
        <f t="shared" ref="H505:H507" si="211">I505+K505+M505+O505+Q505+S505</f>
        <v>0</v>
      </c>
      <c r="I505" s="129">
        <v>0</v>
      </c>
      <c r="J505" s="129">
        <v>0</v>
      </c>
      <c r="K505" s="129">
        <v>0</v>
      </c>
      <c r="L505" s="129">
        <v>0</v>
      </c>
      <c r="M505" s="129">
        <v>0</v>
      </c>
      <c r="N505" s="348">
        <v>0</v>
      </c>
      <c r="O505" s="348">
        <v>0</v>
      </c>
      <c r="P505" s="348">
        <v>0</v>
      </c>
      <c r="Q505" s="348">
        <v>0</v>
      </c>
      <c r="R505" s="348">
        <v>0</v>
      </c>
      <c r="S505" s="348">
        <v>0</v>
      </c>
      <c r="T505" s="44">
        <v>0</v>
      </c>
      <c r="U505" s="348">
        <v>0</v>
      </c>
      <c r="V505" s="437" t="s">
        <v>997</v>
      </c>
      <c r="W505" s="262">
        <v>1197</v>
      </c>
      <c r="X505" s="348">
        <f t="shared" ref="X505:X507" si="212">ROUND(G505/100*95.5,2)</f>
        <v>3811212.09</v>
      </c>
      <c r="Y505" s="351">
        <v>0</v>
      </c>
      <c r="Z505" s="351">
        <v>0</v>
      </c>
      <c r="AA505" s="351">
        <v>0</v>
      </c>
      <c r="AB505" s="351">
        <v>0</v>
      </c>
      <c r="AC505" s="351">
        <v>0</v>
      </c>
      <c r="AD505" s="351">
        <v>0</v>
      </c>
      <c r="AE505" s="351">
        <v>0</v>
      </c>
      <c r="AF505" s="351">
        <v>0</v>
      </c>
      <c r="AG505" s="351">
        <v>0</v>
      </c>
      <c r="AH505" s="351">
        <v>0</v>
      </c>
      <c r="AI505" s="351">
        <v>0</v>
      </c>
      <c r="AJ505" s="351">
        <f t="shared" ref="AJ505:AJ507" si="213">ROUND(G505/100*3,2)</f>
        <v>119723.94</v>
      </c>
      <c r="AK505" s="351">
        <f t="shared" ref="AK505:AK507" si="214">ROUND(G505/100*1.5,2)</f>
        <v>59861.97</v>
      </c>
      <c r="AL505" s="351">
        <v>0</v>
      </c>
      <c r="AM505" s="352"/>
      <c r="AN505" s="352"/>
    </row>
    <row r="506" spans="1:40" s="19" customFormat="1" ht="9" hidden="1" customHeight="1">
      <c r="A506" s="349">
        <v>142</v>
      </c>
      <c r="B506" s="193" t="s">
        <v>774</v>
      </c>
      <c r="C506" s="197">
        <v>1546</v>
      </c>
      <c r="D506" s="343"/>
      <c r="E506" s="437"/>
      <c r="F506" s="437"/>
      <c r="G506" s="197">
        <v>2683870</v>
      </c>
      <c r="H506" s="348">
        <f t="shared" si="211"/>
        <v>0</v>
      </c>
      <c r="I506" s="129">
        <v>0</v>
      </c>
      <c r="J506" s="129">
        <v>0</v>
      </c>
      <c r="K506" s="129">
        <v>0</v>
      </c>
      <c r="L506" s="129">
        <v>0</v>
      </c>
      <c r="M506" s="129">
        <v>0</v>
      </c>
      <c r="N506" s="348">
        <v>0</v>
      </c>
      <c r="O506" s="348">
        <v>0</v>
      </c>
      <c r="P506" s="348">
        <v>0</v>
      </c>
      <c r="Q506" s="348">
        <v>0</v>
      </c>
      <c r="R506" s="348">
        <v>0</v>
      </c>
      <c r="S506" s="348">
        <v>0</v>
      </c>
      <c r="T506" s="44">
        <v>0</v>
      </c>
      <c r="U506" s="348">
        <v>0</v>
      </c>
      <c r="V506" s="437" t="s">
        <v>997</v>
      </c>
      <c r="W506" s="262">
        <v>805</v>
      </c>
      <c r="X506" s="348">
        <f t="shared" si="212"/>
        <v>2563095.85</v>
      </c>
      <c r="Y506" s="351">
        <v>0</v>
      </c>
      <c r="Z506" s="351">
        <v>0</v>
      </c>
      <c r="AA506" s="351">
        <v>0</v>
      </c>
      <c r="AB506" s="351">
        <v>0</v>
      </c>
      <c r="AC506" s="351">
        <v>0</v>
      </c>
      <c r="AD506" s="351">
        <v>0</v>
      </c>
      <c r="AE506" s="351">
        <v>0</v>
      </c>
      <c r="AF506" s="351">
        <v>0</v>
      </c>
      <c r="AG506" s="351">
        <v>0</v>
      </c>
      <c r="AH506" s="351">
        <v>0</v>
      </c>
      <c r="AI506" s="351">
        <v>0</v>
      </c>
      <c r="AJ506" s="351">
        <f t="shared" si="213"/>
        <v>80516.100000000006</v>
      </c>
      <c r="AK506" s="351">
        <f t="shared" si="214"/>
        <v>40258.050000000003</v>
      </c>
      <c r="AL506" s="351">
        <v>0</v>
      </c>
      <c r="AM506" s="352"/>
      <c r="AN506" s="352"/>
    </row>
    <row r="507" spans="1:40" s="19" customFormat="1" ht="9" hidden="1" customHeight="1">
      <c r="A507" s="349">
        <v>143</v>
      </c>
      <c r="B507" s="193" t="s">
        <v>775</v>
      </c>
      <c r="C507" s="197">
        <v>6406.5</v>
      </c>
      <c r="D507" s="343"/>
      <c r="E507" s="437"/>
      <c r="F507" s="437"/>
      <c r="G507" s="197">
        <v>6688004</v>
      </c>
      <c r="H507" s="348">
        <f t="shared" si="211"/>
        <v>0</v>
      </c>
      <c r="I507" s="129">
        <v>0</v>
      </c>
      <c r="J507" s="129">
        <v>0</v>
      </c>
      <c r="K507" s="129">
        <v>0</v>
      </c>
      <c r="L507" s="129">
        <v>0</v>
      </c>
      <c r="M507" s="129">
        <v>0</v>
      </c>
      <c r="N507" s="348">
        <v>0</v>
      </c>
      <c r="O507" s="348">
        <v>0</v>
      </c>
      <c r="P507" s="348">
        <v>0</v>
      </c>
      <c r="Q507" s="348">
        <v>0</v>
      </c>
      <c r="R507" s="348">
        <v>0</v>
      </c>
      <c r="S507" s="348">
        <v>0</v>
      </c>
      <c r="T507" s="44">
        <v>0</v>
      </c>
      <c r="U507" s="348">
        <v>0</v>
      </c>
      <c r="V507" s="437" t="s">
        <v>997</v>
      </c>
      <c r="W507" s="262">
        <v>2006</v>
      </c>
      <c r="X507" s="348">
        <f t="shared" si="212"/>
        <v>6387043.8200000003</v>
      </c>
      <c r="Y507" s="351">
        <v>0</v>
      </c>
      <c r="Z507" s="351">
        <v>0</v>
      </c>
      <c r="AA507" s="351">
        <v>0</v>
      </c>
      <c r="AB507" s="351">
        <v>0</v>
      </c>
      <c r="AC507" s="351">
        <v>0</v>
      </c>
      <c r="AD507" s="351">
        <v>0</v>
      </c>
      <c r="AE507" s="351">
        <v>0</v>
      </c>
      <c r="AF507" s="351">
        <v>0</v>
      </c>
      <c r="AG507" s="351">
        <v>0</v>
      </c>
      <c r="AH507" s="351">
        <v>0</v>
      </c>
      <c r="AI507" s="351">
        <v>0</v>
      </c>
      <c r="AJ507" s="351">
        <f t="shared" si="213"/>
        <v>200640.12</v>
      </c>
      <c r="AK507" s="351">
        <f t="shared" si="214"/>
        <v>100320.06</v>
      </c>
      <c r="AL507" s="351">
        <v>0</v>
      </c>
      <c r="AM507" s="352"/>
      <c r="AN507" s="352"/>
    </row>
    <row r="508" spans="1:40" s="19" customFormat="1" ht="9" hidden="1" customHeight="1">
      <c r="A508" s="349">
        <v>144</v>
      </c>
      <c r="B508" s="193" t="s">
        <v>776</v>
      </c>
      <c r="C508" s="197">
        <v>4277</v>
      </c>
      <c r="D508" s="343"/>
      <c r="E508" s="437"/>
      <c r="F508" s="437"/>
      <c r="G508" s="197">
        <v>4044142</v>
      </c>
      <c r="H508" s="348">
        <f t="shared" ref="H508:H516" si="215">I508+K508+M508+O508+Q508+S508</f>
        <v>0</v>
      </c>
      <c r="I508" s="129">
        <v>0</v>
      </c>
      <c r="J508" s="129">
        <v>0</v>
      </c>
      <c r="K508" s="129">
        <v>0</v>
      </c>
      <c r="L508" s="129">
        <v>0</v>
      </c>
      <c r="M508" s="129">
        <v>0</v>
      </c>
      <c r="N508" s="348">
        <v>0</v>
      </c>
      <c r="O508" s="348">
        <v>0</v>
      </c>
      <c r="P508" s="348">
        <v>0</v>
      </c>
      <c r="Q508" s="348">
        <v>0</v>
      </c>
      <c r="R508" s="348">
        <v>0</v>
      </c>
      <c r="S508" s="348">
        <v>0</v>
      </c>
      <c r="T508" s="44">
        <v>0</v>
      </c>
      <c r="U508" s="348">
        <v>0</v>
      </c>
      <c r="V508" s="437" t="s">
        <v>997</v>
      </c>
      <c r="W508" s="262">
        <v>1213</v>
      </c>
      <c r="X508" s="348">
        <f t="shared" ref="X508:X516" si="216">ROUND(G508/100*95.5,2)</f>
        <v>3862155.61</v>
      </c>
      <c r="Y508" s="351">
        <v>0</v>
      </c>
      <c r="Z508" s="351">
        <v>0</v>
      </c>
      <c r="AA508" s="351">
        <v>0</v>
      </c>
      <c r="AB508" s="351">
        <v>0</v>
      </c>
      <c r="AC508" s="351">
        <v>0</v>
      </c>
      <c r="AD508" s="351">
        <v>0</v>
      </c>
      <c r="AE508" s="351">
        <v>0</v>
      </c>
      <c r="AF508" s="351">
        <v>0</v>
      </c>
      <c r="AG508" s="351">
        <v>0</v>
      </c>
      <c r="AH508" s="351">
        <v>0</v>
      </c>
      <c r="AI508" s="351">
        <v>0</v>
      </c>
      <c r="AJ508" s="351">
        <f t="shared" ref="AJ508:AJ516" si="217">ROUND(G508/100*3,2)</f>
        <v>121324.26</v>
      </c>
      <c r="AK508" s="351">
        <f t="shared" ref="AK508:AK516" si="218">ROUND(G508/100*1.5,2)</f>
        <v>60662.13</v>
      </c>
      <c r="AL508" s="351">
        <v>0</v>
      </c>
      <c r="AM508" s="352"/>
      <c r="AN508" s="352"/>
    </row>
    <row r="509" spans="1:40" s="19" customFormat="1" ht="9" hidden="1" customHeight="1">
      <c r="A509" s="349">
        <v>145</v>
      </c>
      <c r="B509" s="193" t="s">
        <v>777</v>
      </c>
      <c r="C509" s="197">
        <v>2490.1</v>
      </c>
      <c r="D509" s="343"/>
      <c r="E509" s="437"/>
      <c r="F509" s="437"/>
      <c r="G509" s="197">
        <v>2737214</v>
      </c>
      <c r="H509" s="348">
        <f t="shared" si="215"/>
        <v>0</v>
      </c>
      <c r="I509" s="129">
        <v>0</v>
      </c>
      <c r="J509" s="129">
        <v>0</v>
      </c>
      <c r="K509" s="129">
        <v>0</v>
      </c>
      <c r="L509" s="129">
        <v>0</v>
      </c>
      <c r="M509" s="129">
        <v>0</v>
      </c>
      <c r="N509" s="348">
        <v>0</v>
      </c>
      <c r="O509" s="348">
        <v>0</v>
      </c>
      <c r="P509" s="348">
        <v>0</v>
      </c>
      <c r="Q509" s="348">
        <v>0</v>
      </c>
      <c r="R509" s="348">
        <v>0</v>
      </c>
      <c r="S509" s="348">
        <v>0</v>
      </c>
      <c r="T509" s="44">
        <v>0</v>
      </c>
      <c r="U509" s="348">
        <v>0</v>
      </c>
      <c r="V509" s="437" t="s">
        <v>997</v>
      </c>
      <c r="W509" s="262">
        <v>821</v>
      </c>
      <c r="X509" s="348">
        <f t="shared" si="216"/>
        <v>2614039.37</v>
      </c>
      <c r="Y509" s="351">
        <v>0</v>
      </c>
      <c r="Z509" s="351">
        <v>0</v>
      </c>
      <c r="AA509" s="351">
        <v>0</v>
      </c>
      <c r="AB509" s="351">
        <v>0</v>
      </c>
      <c r="AC509" s="351">
        <v>0</v>
      </c>
      <c r="AD509" s="351">
        <v>0</v>
      </c>
      <c r="AE509" s="351">
        <v>0</v>
      </c>
      <c r="AF509" s="351">
        <v>0</v>
      </c>
      <c r="AG509" s="351">
        <v>0</v>
      </c>
      <c r="AH509" s="351">
        <v>0</v>
      </c>
      <c r="AI509" s="351">
        <v>0</v>
      </c>
      <c r="AJ509" s="351">
        <f t="shared" si="217"/>
        <v>82116.42</v>
      </c>
      <c r="AK509" s="351">
        <f t="shared" si="218"/>
        <v>41058.21</v>
      </c>
      <c r="AL509" s="351">
        <v>0</v>
      </c>
      <c r="AM509" s="352"/>
      <c r="AN509" s="352"/>
    </row>
    <row r="510" spans="1:40" s="19" customFormat="1" ht="9" hidden="1" customHeight="1">
      <c r="A510" s="349">
        <v>146</v>
      </c>
      <c r="B510" s="193" t="s">
        <v>778</v>
      </c>
      <c r="C510" s="197">
        <v>5272</v>
      </c>
      <c r="D510" s="343"/>
      <c r="E510" s="437"/>
      <c r="F510" s="437"/>
      <c r="G510" s="197">
        <v>5241048</v>
      </c>
      <c r="H510" s="348">
        <f t="shared" si="215"/>
        <v>0</v>
      </c>
      <c r="I510" s="129">
        <v>0</v>
      </c>
      <c r="J510" s="129">
        <v>0</v>
      </c>
      <c r="K510" s="129">
        <v>0</v>
      </c>
      <c r="L510" s="129">
        <v>0</v>
      </c>
      <c r="M510" s="129">
        <v>0</v>
      </c>
      <c r="N510" s="348">
        <v>0</v>
      </c>
      <c r="O510" s="348">
        <v>0</v>
      </c>
      <c r="P510" s="348">
        <v>0</v>
      </c>
      <c r="Q510" s="348">
        <v>0</v>
      </c>
      <c r="R510" s="348">
        <v>0</v>
      </c>
      <c r="S510" s="348">
        <v>0</v>
      </c>
      <c r="T510" s="44">
        <v>0</v>
      </c>
      <c r="U510" s="348">
        <v>0</v>
      </c>
      <c r="V510" s="437" t="s">
        <v>997</v>
      </c>
      <c r="W510" s="262">
        <v>1572</v>
      </c>
      <c r="X510" s="348">
        <f t="shared" si="216"/>
        <v>5005200.84</v>
      </c>
      <c r="Y510" s="351">
        <v>0</v>
      </c>
      <c r="Z510" s="351">
        <v>0</v>
      </c>
      <c r="AA510" s="351">
        <v>0</v>
      </c>
      <c r="AB510" s="351">
        <v>0</v>
      </c>
      <c r="AC510" s="351">
        <v>0</v>
      </c>
      <c r="AD510" s="351">
        <v>0</v>
      </c>
      <c r="AE510" s="351">
        <v>0</v>
      </c>
      <c r="AF510" s="351">
        <v>0</v>
      </c>
      <c r="AG510" s="351">
        <v>0</v>
      </c>
      <c r="AH510" s="351">
        <v>0</v>
      </c>
      <c r="AI510" s="351">
        <v>0</v>
      </c>
      <c r="AJ510" s="351">
        <f t="shared" si="217"/>
        <v>157231.44</v>
      </c>
      <c r="AK510" s="351">
        <f t="shared" si="218"/>
        <v>78615.72</v>
      </c>
      <c r="AL510" s="351">
        <v>0</v>
      </c>
      <c r="AM510" s="352"/>
      <c r="AN510" s="352"/>
    </row>
    <row r="511" spans="1:40" s="19" customFormat="1" ht="9" hidden="1" customHeight="1">
      <c r="A511" s="349">
        <v>147</v>
      </c>
      <c r="B511" s="193" t="s">
        <v>779</v>
      </c>
      <c r="C511" s="197">
        <v>858.2</v>
      </c>
      <c r="D511" s="343"/>
      <c r="E511" s="437"/>
      <c r="F511" s="437"/>
      <c r="G511" s="197">
        <v>2213776</v>
      </c>
      <c r="H511" s="348">
        <f t="shared" si="215"/>
        <v>0</v>
      </c>
      <c r="I511" s="129">
        <v>0</v>
      </c>
      <c r="J511" s="129">
        <v>0</v>
      </c>
      <c r="K511" s="129">
        <v>0</v>
      </c>
      <c r="L511" s="129">
        <v>0</v>
      </c>
      <c r="M511" s="129">
        <v>0</v>
      </c>
      <c r="N511" s="348">
        <v>0</v>
      </c>
      <c r="O511" s="348">
        <v>0</v>
      </c>
      <c r="P511" s="348">
        <v>0</v>
      </c>
      <c r="Q511" s="348">
        <v>0</v>
      </c>
      <c r="R511" s="348">
        <v>0</v>
      </c>
      <c r="S511" s="348">
        <v>0</v>
      </c>
      <c r="T511" s="44">
        <v>0</v>
      </c>
      <c r="U511" s="348">
        <v>0</v>
      </c>
      <c r="V511" s="437" t="s">
        <v>997</v>
      </c>
      <c r="W511" s="262">
        <v>664</v>
      </c>
      <c r="X511" s="348">
        <f t="shared" si="216"/>
        <v>2114156.08</v>
      </c>
      <c r="Y511" s="351">
        <v>0</v>
      </c>
      <c r="Z511" s="351">
        <v>0</v>
      </c>
      <c r="AA511" s="351">
        <v>0</v>
      </c>
      <c r="AB511" s="351">
        <v>0</v>
      </c>
      <c r="AC511" s="351">
        <v>0</v>
      </c>
      <c r="AD511" s="351">
        <v>0</v>
      </c>
      <c r="AE511" s="351">
        <v>0</v>
      </c>
      <c r="AF511" s="351">
        <v>0</v>
      </c>
      <c r="AG511" s="351">
        <v>0</v>
      </c>
      <c r="AH511" s="351">
        <v>0</v>
      </c>
      <c r="AI511" s="351">
        <v>0</v>
      </c>
      <c r="AJ511" s="351">
        <f t="shared" si="217"/>
        <v>66413.279999999999</v>
      </c>
      <c r="AK511" s="351">
        <f t="shared" si="218"/>
        <v>33206.639999999999</v>
      </c>
      <c r="AL511" s="351">
        <v>0</v>
      </c>
      <c r="AM511" s="352"/>
      <c r="AN511" s="352"/>
    </row>
    <row r="512" spans="1:40" s="19" customFormat="1" ht="9" hidden="1" customHeight="1">
      <c r="A512" s="349">
        <v>148</v>
      </c>
      <c r="B512" s="193" t="s">
        <v>780</v>
      </c>
      <c r="C512" s="197">
        <v>1831.8</v>
      </c>
      <c r="D512" s="343"/>
      <c r="E512" s="437"/>
      <c r="F512" s="437"/>
      <c r="G512" s="197">
        <v>2193772</v>
      </c>
      <c r="H512" s="348">
        <f t="shared" si="215"/>
        <v>0</v>
      </c>
      <c r="I512" s="129">
        <v>0</v>
      </c>
      <c r="J512" s="129">
        <v>0</v>
      </c>
      <c r="K512" s="129">
        <v>0</v>
      </c>
      <c r="L512" s="129">
        <v>0</v>
      </c>
      <c r="M512" s="129">
        <v>0</v>
      </c>
      <c r="N512" s="348">
        <v>0</v>
      </c>
      <c r="O512" s="348">
        <v>0</v>
      </c>
      <c r="P512" s="348">
        <v>0</v>
      </c>
      <c r="Q512" s="348">
        <v>0</v>
      </c>
      <c r="R512" s="348">
        <v>0</v>
      </c>
      <c r="S512" s="348">
        <v>0</v>
      </c>
      <c r="T512" s="44">
        <v>0</v>
      </c>
      <c r="U512" s="348">
        <v>0</v>
      </c>
      <c r="V512" s="437" t="s">
        <v>997</v>
      </c>
      <c r="W512" s="262">
        <v>658</v>
      </c>
      <c r="X512" s="348">
        <f t="shared" si="216"/>
        <v>2095052.26</v>
      </c>
      <c r="Y512" s="351">
        <v>0</v>
      </c>
      <c r="Z512" s="351">
        <v>0</v>
      </c>
      <c r="AA512" s="351">
        <v>0</v>
      </c>
      <c r="AB512" s="351">
        <v>0</v>
      </c>
      <c r="AC512" s="351">
        <v>0</v>
      </c>
      <c r="AD512" s="351">
        <v>0</v>
      </c>
      <c r="AE512" s="351">
        <v>0</v>
      </c>
      <c r="AF512" s="351">
        <v>0</v>
      </c>
      <c r="AG512" s="351">
        <v>0</v>
      </c>
      <c r="AH512" s="351">
        <v>0</v>
      </c>
      <c r="AI512" s="351">
        <v>0</v>
      </c>
      <c r="AJ512" s="351">
        <f t="shared" si="217"/>
        <v>65813.16</v>
      </c>
      <c r="AK512" s="351">
        <f t="shared" si="218"/>
        <v>32906.58</v>
      </c>
      <c r="AL512" s="351">
        <v>0</v>
      </c>
      <c r="AM512" s="352"/>
      <c r="AN512" s="352"/>
    </row>
    <row r="513" spans="1:40" s="19" customFormat="1" ht="9" hidden="1" customHeight="1">
      <c r="A513" s="349">
        <v>149</v>
      </c>
      <c r="B513" s="193" t="s">
        <v>781</v>
      </c>
      <c r="C513" s="197">
        <v>5704.3</v>
      </c>
      <c r="D513" s="343"/>
      <c r="E513" s="437"/>
      <c r="F513" s="437"/>
      <c r="G513" s="197">
        <v>5874508</v>
      </c>
      <c r="H513" s="348">
        <f t="shared" si="215"/>
        <v>0</v>
      </c>
      <c r="I513" s="129">
        <v>0</v>
      </c>
      <c r="J513" s="129">
        <v>0</v>
      </c>
      <c r="K513" s="129">
        <v>0</v>
      </c>
      <c r="L513" s="129">
        <v>0</v>
      </c>
      <c r="M513" s="129">
        <v>0</v>
      </c>
      <c r="N513" s="348">
        <v>0</v>
      </c>
      <c r="O513" s="348">
        <v>0</v>
      </c>
      <c r="P513" s="348">
        <v>0</v>
      </c>
      <c r="Q513" s="348">
        <v>0</v>
      </c>
      <c r="R513" s="348">
        <v>0</v>
      </c>
      <c r="S513" s="348">
        <v>0</v>
      </c>
      <c r="T513" s="44">
        <v>0</v>
      </c>
      <c r="U513" s="348">
        <v>0</v>
      </c>
      <c r="V513" s="437" t="s">
        <v>997</v>
      </c>
      <c r="W513" s="262">
        <v>1762</v>
      </c>
      <c r="X513" s="348">
        <f t="shared" si="216"/>
        <v>5610155.1399999997</v>
      </c>
      <c r="Y513" s="351">
        <v>0</v>
      </c>
      <c r="Z513" s="351">
        <v>0</v>
      </c>
      <c r="AA513" s="351">
        <v>0</v>
      </c>
      <c r="AB513" s="351">
        <v>0</v>
      </c>
      <c r="AC513" s="351">
        <v>0</v>
      </c>
      <c r="AD513" s="351">
        <v>0</v>
      </c>
      <c r="AE513" s="351">
        <v>0</v>
      </c>
      <c r="AF513" s="351">
        <v>0</v>
      </c>
      <c r="AG513" s="351">
        <v>0</v>
      </c>
      <c r="AH513" s="351">
        <v>0</v>
      </c>
      <c r="AI513" s="351">
        <v>0</v>
      </c>
      <c r="AJ513" s="351">
        <f t="shared" si="217"/>
        <v>176235.24</v>
      </c>
      <c r="AK513" s="351">
        <f t="shared" si="218"/>
        <v>88117.62</v>
      </c>
      <c r="AL513" s="351">
        <v>0</v>
      </c>
      <c r="AM513" s="352"/>
      <c r="AN513" s="352"/>
    </row>
    <row r="514" spans="1:40" s="19" customFormat="1" ht="9" hidden="1" customHeight="1">
      <c r="A514" s="349">
        <v>150</v>
      </c>
      <c r="B514" s="193" t="s">
        <v>782</v>
      </c>
      <c r="C514" s="197">
        <v>5532.6</v>
      </c>
      <c r="D514" s="343"/>
      <c r="E514" s="437"/>
      <c r="F514" s="437"/>
      <c r="G514" s="197">
        <v>6084550</v>
      </c>
      <c r="H514" s="348">
        <f t="shared" si="215"/>
        <v>0</v>
      </c>
      <c r="I514" s="129">
        <v>0</v>
      </c>
      <c r="J514" s="129">
        <v>0</v>
      </c>
      <c r="K514" s="129">
        <v>0</v>
      </c>
      <c r="L514" s="129">
        <v>0</v>
      </c>
      <c r="M514" s="129">
        <v>0</v>
      </c>
      <c r="N514" s="348">
        <v>0</v>
      </c>
      <c r="O514" s="348">
        <v>0</v>
      </c>
      <c r="P514" s="348">
        <v>0</v>
      </c>
      <c r="Q514" s="348">
        <v>0</v>
      </c>
      <c r="R514" s="348">
        <v>0</v>
      </c>
      <c r="S514" s="348">
        <v>0</v>
      </c>
      <c r="T514" s="44">
        <v>0</v>
      </c>
      <c r="U514" s="348">
        <v>0</v>
      </c>
      <c r="V514" s="437" t="s">
        <v>997</v>
      </c>
      <c r="W514" s="262">
        <v>1825</v>
      </c>
      <c r="X514" s="348">
        <f t="shared" si="216"/>
        <v>5810745.25</v>
      </c>
      <c r="Y514" s="351">
        <v>0</v>
      </c>
      <c r="Z514" s="351">
        <v>0</v>
      </c>
      <c r="AA514" s="351">
        <v>0</v>
      </c>
      <c r="AB514" s="351">
        <v>0</v>
      </c>
      <c r="AC514" s="351">
        <v>0</v>
      </c>
      <c r="AD514" s="351">
        <v>0</v>
      </c>
      <c r="AE514" s="351">
        <v>0</v>
      </c>
      <c r="AF514" s="351">
        <v>0</v>
      </c>
      <c r="AG514" s="351">
        <v>0</v>
      </c>
      <c r="AH514" s="351">
        <v>0</v>
      </c>
      <c r="AI514" s="351">
        <v>0</v>
      </c>
      <c r="AJ514" s="351">
        <f t="shared" si="217"/>
        <v>182536.5</v>
      </c>
      <c r="AK514" s="351">
        <f t="shared" si="218"/>
        <v>91268.25</v>
      </c>
      <c r="AL514" s="351">
        <v>0</v>
      </c>
      <c r="AM514" s="352"/>
      <c r="AN514" s="352"/>
    </row>
    <row r="515" spans="1:40" s="19" customFormat="1" ht="9" hidden="1" customHeight="1">
      <c r="A515" s="349">
        <v>151</v>
      </c>
      <c r="B515" s="193" t="s">
        <v>783</v>
      </c>
      <c r="C515" s="197">
        <v>2443.3000000000002</v>
      </c>
      <c r="D515" s="343"/>
      <c r="E515" s="437"/>
      <c r="F515" s="437"/>
      <c r="G515" s="197">
        <v>2747216</v>
      </c>
      <c r="H515" s="348">
        <f t="shared" si="215"/>
        <v>0</v>
      </c>
      <c r="I515" s="129">
        <v>0</v>
      </c>
      <c r="J515" s="129">
        <v>0</v>
      </c>
      <c r="K515" s="129">
        <v>0</v>
      </c>
      <c r="L515" s="129">
        <v>0</v>
      </c>
      <c r="M515" s="129">
        <v>0</v>
      </c>
      <c r="N515" s="348">
        <v>0</v>
      </c>
      <c r="O515" s="348">
        <v>0</v>
      </c>
      <c r="P515" s="348">
        <v>0</v>
      </c>
      <c r="Q515" s="348">
        <v>0</v>
      </c>
      <c r="R515" s="348">
        <v>0</v>
      </c>
      <c r="S515" s="348">
        <v>0</v>
      </c>
      <c r="T515" s="44">
        <v>0</v>
      </c>
      <c r="U515" s="348">
        <v>0</v>
      </c>
      <c r="V515" s="437" t="s">
        <v>997</v>
      </c>
      <c r="W515" s="262">
        <v>824</v>
      </c>
      <c r="X515" s="348">
        <f t="shared" si="216"/>
        <v>2623591.2799999998</v>
      </c>
      <c r="Y515" s="351">
        <v>0</v>
      </c>
      <c r="Z515" s="351">
        <v>0</v>
      </c>
      <c r="AA515" s="351">
        <v>0</v>
      </c>
      <c r="AB515" s="351">
        <v>0</v>
      </c>
      <c r="AC515" s="351">
        <v>0</v>
      </c>
      <c r="AD515" s="351">
        <v>0</v>
      </c>
      <c r="AE515" s="351">
        <v>0</v>
      </c>
      <c r="AF515" s="351">
        <v>0</v>
      </c>
      <c r="AG515" s="351">
        <v>0</v>
      </c>
      <c r="AH515" s="351">
        <v>0</v>
      </c>
      <c r="AI515" s="351">
        <v>0</v>
      </c>
      <c r="AJ515" s="351">
        <f t="shared" si="217"/>
        <v>82416.479999999996</v>
      </c>
      <c r="AK515" s="351">
        <f t="shared" si="218"/>
        <v>41208.239999999998</v>
      </c>
      <c r="AL515" s="351">
        <v>0</v>
      </c>
      <c r="AM515" s="352"/>
      <c r="AN515" s="352"/>
    </row>
    <row r="516" spans="1:40" s="19" customFormat="1" ht="9" hidden="1" customHeight="1">
      <c r="A516" s="349">
        <v>152</v>
      </c>
      <c r="B516" s="125" t="s">
        <v>758</v>
      </c>
      <c r="C516" s="129">
        <v>210.2</v>
      </c>
      <c r="D516" s="343"/>
      <c r="E516" s="247"/>
      <c r="F516" s="247"/>
      <c r="G516" s="129">
        <v>721182</v>
      </c>
      <c r="H516" s="348">
        <f t="shared" si="215"/>
        <v>0</v>
      </c>
      <c r="I516" s="129">
        <v>0</v>
      </c>
      <c r="J516" s="129">
        <v>0</v>
      </c>
      <c r="K516" s="129">
        <v>0</v>
      </c>
      <c r="L516" s="129">
        <v>0</v>
      </c>
      <c r="M516" s="129">
        <v>0</v>
      </c>
      <c r="N516" s="348">
        <v>0</v>
      </c>
      <c r="O516" s="348">
        <v>0</v>
      </c>
      <c r="P516" s="348">
        <v>0</v>
      </c>
      <c r="Q516" s="348">
        <v>0</v>
      </c>
      <c r="R516" s="348">
        <v>0</v>
      </c>
      <c r="S516" s="348">
        <v>0</v>
      </c>
      <c r="T516" s="44">
        <v>0</v>
      </c>
      <c r="U516" s="348">
        <v>0</v>
      </c>
      <c r="V516" s="437" t="s">
        <v>998</v>
      </c>
      <c r="W516" s="262">
        <v>223</v>
      </c>
      <c r="X516" s="348">
        <f t="shared" si="216"/>
        <v>688728.81</v>
      </c>
      <c r="Y516" s="351">
        <v>0</v>
      </c>
      <c r="Z516" s="351">
        <v>0</v>
      </c>
      <c r="AA516" s="351">
        <v>0</v>
      </c>
      <c r="AB516" s="351">
        <v>0</v>
      </c>
      <c r="AC516" s="351">
        <v>0</v>
      </c>
      <c r="AD516" s="351">
        <v>0</v>
      </c>
      <c r="AE516" s="351">
        <v>0</v>
      </c>
      <c r="AF516" s="351">
        <v>0</v>
      </c>
      <c r="AG516" s="351">
        <v>0</v>
      </c>
      <c r="AH516" s="351">
        <v>0</v>
      </c>
      <c r="AI516" s="351">
        <v>0</v>
      </c>
      <c r="AJ516" s="351">
        <f t="shared" si="217"/>
        <v>21635.46</v>
      </c>
      <c r="AK516" s="351">
        <f t="shared" si="218"/>
        <v>10817.73</v>
      </c>
      <c r="AL516" s="351">
        <v>0</v>
      </c>
      <c r="AM516" s="352"/>
      <c r="AN516" s="352"/>
    </row>
    <row r="517" spans="1:40" s="19" customFormat="1" ht="27" hidden="1" customHeight="1">
      <c r="A517" s="599" t="s">
        <v>228</v>
      </c>
      <c r="B517" s="599"/>
      <c r="C517" s="348">
        <f>SUM(C505:C516)</f>
        <v>40637.4</v>
      </c>
      <c r="D517" s="248"/>
      <c r="E517" s="225"/>
      <c r="F517" s="225"/>
      <c r="G517" s="348">
        <f>SUM(G505:G516)</f>
        <v>45220080</v>
      </c>
      <c r="H517" s="348">
        <f t="shared" ref="H517:AL517" si="219">SUM(H505:H516)</f>
        <v>0</v>
      </c>
      <c r="I517" s="348">
        <f t="shared" si="219"/>
        <v>0</v>
      </c>
      <c r="J517" s="348">
        <f t="shared" si="219"/>
        <v>0</v>
      </c>
      <c r="K517" s="348">
        <f t="shared" si="219"/>
        <v>0</v>
      </c>
      <c r="L517" s="348">
        <f t="shared" si="219"/>
        <v>0</v>
      </c>
      <c r="M517" s="348">
        <f t="shared" si="219"/>
        <v>0</v>
      </c>
      <c r="N517" s="348">
        <f t="shared" si="219"/>
        <v>0</v>
      </c>
      <c r="O517" s="348">
        <f t="shared" si="219"/>
        <v>0</v>
      </c>
      <c r="P517" s="348">
        <f t="shared" si="219"/>
        <v>0</v>
      </c>
      <c r="Q517" s="348">
        <f t="shared" si="219"/>
        <v>0</v>
      </c>
      <c r="R517" s="348">
        <f t="shared" si="219"/>
        <v>0</v>
      </c>
      <c r="S517" s="348">
        <f t="shared" si="219"/>
        <v>0</v>
      </c>
      <c r="T517" s="44">
        <f t="shared" si="219"/>
        <v>0</v>
      </c>
      <c r="U517" s="348">
        <f t="shared" si="219"/>
        <v>0</v>
      </c>
      <c r="V517" s="225" t="s">
        <v>387</v>
      </c>
      <c r="W517" s="348">
        <f t="shared" si="219"/>
        <v>13570</v>
      </c>
      <c r="X517" s="348">
        <f t="shared" si="219"/>
        <v>43185176.399999999</v>
      </c>
      <c r="Y517" s="348">
        <f t="shared" si="219"/>
        <v>0</v>
      </c>
      <c r="Z517" s="348">
        <f t="shared" si="219"/>
        <v>0</v>
      </c>
      <c r="AA517" s="348">
        <f t="shared" si="219"/>
        <v>0</v>
      </c>
      <c r="AB517" s="348">
        <f t="shared" si="219"/>
        <v>0</v>
      </c>
      <c r="AC517" s="348">
        <f t="shared" si="219"/>
        <v>0</v>
      </c>
      <c r="AD517" s="348">
        <f t="shared" si="219"/>
        <v>0</v>
      </c>
      <c r="AE517" s="348">
        <f t="shared" si="219"/>
        <v>0</v>
      </c>
      <c r="AF517" s="348">
        <f t="shared" si="219"/>
        <v>0</v>
      </c>
      <c r="AG517" s="348">
        <f t="shared" si="219"/>
        <v>0</v>
      </c>
      <c r="AH517" s="348">
        <f t="shared" si="219"/>
        <v>0</v>
      </c>
      <c r="AI517" s="348">
        <f t="shared" si="219"/>
        <v>0</v>
      </c>
      <c r="AJ517" s="348">
        <f t="shared" si="219"/>
        <v>1356602.4</v>
      </c>
      <c r="AK517" s="348">
        <f t="shared" si="219"/>
        <v>678301.2</v>
      </c>
      <c r="AL517" s="348">
        <f t="shared" si="219"/>
        <v>0</v>
      </c>
      <c r="AM517" s="352"/>
      <c r="AN517" s="352"/>
    </row>
    <row r="518" spans="1:40" s="19" customFormat="1" ht="13.5" hidden="1" customHeight="1">
      <c r="A518" s="519" t="s">
        <v>239</v>
      </c>
      <c r="B518" s="520"/>
      <c r="C518" s="520"/>
      <c r="D518" s="520"/>
      <c r="E518" s="520"/>
      <c r="F518" s="520"/>
      <c r="G518" s="520"/>
      <c r="H518" s="520"/>
      <c r="I518" s="520"/>
      <c r="J518" s="520"/>
      <c r="K518" s="520"/>
      <c r="L518" s="520"/>
      <c r="M518" s="520"/>
      <c r="N518" s="520"/>
      <c r="O518" s="520"/>
      <c r="P518" s="520"/>
      <c r="Q518" s="520"/>
      <c r="R518" s="520"/>
      <c r="S518" s="520"/>
      <c r="T518" s="520"/>
      <c r="U518" s="520"/>
      <c r="V518" s="520"/>
      <c r="W518" s="520"/>
      <c r="X518" s="520"/>
      <c r="Y518" s="520"/>
      <c r="Z518" s="520"/>
      <c r="AA518" s="520"/>
      <c r="AB518" s="520"/>
      <c r="AC518" s="520"/>
      <c r="AD518" s="520"/>
      <c r="AE518" s="520"/>
      <c r="AF518" s="520"/>
      <c r="AG518" s="520"/>
      <c r="AH518" s="520"/>
      <c r="AI518" s="520"/>
      <c r="AJ518" s="520"/>
      <c r="AK518" s="520"/>
      <c r="AL518" s="521"/>
      <c r="AM518" s="352"/>
      <c r="AN518" s="352"/>
    </row>
    <row r="519" spans="1:40" s="19" customFormat="1" ht="9" hidden="1" customHeight="1">
      <c r="A519" s="349">
        <v>153</v>
      </c>
      <c r="B519" s="198" t="s">
        <v>1011</v>
      </c>
      <c r="C519" s="202">
        <v>895.2</v>
      </c>
      <c r="D519" s="343"/>
      <c r="E519" s="438"/>
      <c r="F519" s="438"/>
      <c r="G519" s="202">
        <v>1681680</v>
      </c>
      <c r="H519" s="348">
        <f t="shared" ref="H519:H521" si="220">I519+K519+M519+O519+Q519+S519</f>
        <v>0</v>
      </c>
      <c r="I519" s="129">
        <v>0</v>
      </c>
      <c r="J519" s="129">
        <v>0</v>
      </c>
      <c r="K519" s="129">
        <v>0</v>
      </c>
      <c r="L519" s="129">
        <v>0</v>
      </c>
      <c r="M519" s="129">
        <v>0</v>
      </c>
      <c r="N519" s="348">
        <v>0</v>
      </c>
      <c r="O519" s="348">
        <v>0</v>
      </c>
      <c r="P519" s="348">
        <v>0</v>
      </c>
      <c r="Q519" s="348">
        <v>0</v>
      </c>
      <c r="R519" s="348">
        <v>0</v>
      </c>
      <c r="S519" s="348">
        <v>0</v>
      </c>
      <c r="T519" s="44">
        <v>0</v>
      </c>
      <c r="U519" s="348">
        <v>0</v>
      </c>
      <c r="V519" s="438" t="s">
        <v>998</v>
      </c>
      <c r="W519" s="351">
        <v>520</v>
      </c>
      <c r="X519" s="348">
        <f t="shared" ref="X519:X521" si="221">ROUND(G519/100*95.5,2)</f>
        <v>1606004.4</v>
      </c>
      <c r="Y519" s="351">
        <v>0</v>
      </c>
      <c r="Z519" s="351">
        <v>0</v>
      </c>
      <c r="AA519" s="351">
        <v>0</v>
      </c>
      <c r="AB519" s="351">
        <v>0</v>
      </c>
      <c r="AC519" s="351">
        <v>0</v>
      </c>
      <c r="AD519" s="351">
        <v>0</v>
      </c>
      <c r="AE519" s="351">
        <v>0</v>
      </c>
      <c r="AF519" s="351">
        <v>0</v>
      </c>
      <c r="AG519" s="351">
        <v>0</v>
      </c>
      <c r="AH519" s="351">
        <v>0</v>
      </c>
      <c r="AI519" s="351">
        <v>0</v>
      </c>
      <c r="AJ519" s="351">
        <f t="shared" ref="AJ519:AJ521" si="222">ROUND(G519/100*3,2)</f>
        <v>50450.400000000001</v>
      </c>
      <c r="AK519" s="351">
        <f t="shared" ref="AK519:AK521" si="223">ROUND(G519/100*1.5,2)</f>
        <v>25225.200000000001</v>
      </c>
      <c r="AL519" s="351">
        <v>0</v>
      </c>
      <c r="AM519" s="352"/>
      <c r="AN519" s="352"/>
    </row>
    <row r="520" spans="1:40" s="19" customFormat="1" ht="9" hidden="1" customHeight="1">
      <c r="A520" s="349">
        <v>154</v>
      </c>
      <c r="B520" s="198" t="s">
        <v>1012</v>
      </c>
      <c r="C520" s="202">
        <v>3823.3</v>
      </c>
      <c r="D520" s="343"/>
      <c r="E520" s="438"/>
      <c r="F520" s="438"/>
      <c r="G520" s="202">
        <v>3027272</v>
      </c>
      <c r="H520" s="348">
        <f t="shared" si="220"/>
        <v>0</v>
      </c>
      <c r="I520" s="129">
        <v>0</v>
      </c>
      <c r="J520" s="129">
        <v>0</v>
      </c>
      <c r="K520" s="129">
        <v>0</v>
      </c>
      <c r="L520" s="129">
        <v>0</v>
      </c>
      <c r="M520" s="129">
        <v>0</v>
      </c>
      <c r="N520" s="348">
        <v>0</v>
      </c>
      <c r="O520" s="348">
        <v>0</v>
      </c>
      <c r="P520" s="348">
        <v>0</v>
      </c>
      <c r="Q520" s="348">
        <v>0</v>
      </c>
      <c r="R520" s="348">
        <v>0</v>
      </c>
      <c r="S520" s="348">
        <v>0</v>
      </c>
      <c r="T520" s="44">
        <v>0</v>
      </c>
      <c r="U520" s="348">
        <v>0</v>
      </c>
      <c r="V520" s="438" t="s">
        <v>997</v>
      </c>
      <c r="W520" s="351">
        <v>908</v>
      </c>
      <c r="X520" s="348">
        <f t="shared" si="221"/>
        <v>2891044.76</v>
      </c>
      <c r="Y520" s="351">
        <v>0</v>
      </c>
      <c r="Z520" s="351">
        <v>0</v>
      </c>
      <c r="AA520" s="351">
        <v>0</v>
      </c>
      <c r="AB520" s="351">
        <v>0</v>
      </c>
      <c r="AC520" s="351">
        <v>0</v>
      </c>
      <c r="AD520" s="351">
        <v>0</v>
      </c>
      <c r="AE520" s="351">
        <v>0</v>
      </c>
      <c r="AF520" s="351">
        <v>0</v>
      </c>
      <c r="AG520" s="351">
        <v>0</v>
      </c>
      <c r="AH520" s="351">
        <v>0</v>
      </c>
      <c r="AI520" s="351">
        <v>0</v>
      </c>
      <c r="AJ520" s="351">
        <f t="shared" si="222"/>
        <v>90818.16</v>
      </c>
      <c r="AK520" s="351">
        <f t="shared" si="223"/>
        <v>45409.08</v>
      </c>
      <c r="AL520" s="351">
        <v>0</v>
      </c>
      <c r="AM520" s="352"/>
      <c r="AN520" s="352"/>
    </row>
    <row r="521" spans="1:40" s="19" customFormat="1" ht="9" hidden="1" customHeight="1">
      <c r="A521" s="349">
        <v>155</v>
      </c>
      <c r="B521" s="179" t="s">
        <v>1054</v>
      </c>
      <c r="C521" s="184">
        <v>2764.1</v>
      </c>
      <c r="D521" s="343"/>
      <c r="E521" s="439"/>
      <c r="F521" s="439"/>
      <c r="G521" s="184">
        <v>2787224</v>
      </c>
      <c r="H521" s="348">
        <f t="shared" si="220"/>
        <v>0</v>
      </c>
      <c r="I521" s="129">
        <v>0</v>
      </c>
      <c r="J521" s="129">
        <v>0</v>
      </c>
      <c r="K521" s="129">
        <v>0</v>
      </c>
      <c r="L521" s="129">
        <v>0</v>
      </c>
      <c r="M521" s="129">
        <v>0</v>
      </c>
      <c r="N521" s="348">
        <v>0</v>
      </c>
      <c r="O521" s="348">
        <v>0</v>
      </c>
      <c r="P521" s="348">
        <v>0</v>
      </c>
      <c r="Q521" s="348">
        <v>0</v>
      </c>
      <c r="R521" s="348">
        <v>0</v>
      </c>
      <c r="S521" s="348">
        <v>0</v>
      </c>
      <c r="T521" s="44">
        <v>0</v>
      </c>
      <c r="U521" s="348">
        <v>0</v>
      </c>
      <c r="V521" s="438" t="s">
        <v>997</v>
      </c>
      <c r="W521" s="351">
        <v>836</v>
      </c>
      <c r="X521" s="348">
        <f t="shared" si="221"/>
        <v>2661798.92</v>
      </c>
      <c r="Y521" s="351">
        <v>0</v>
      </c>
      <c r="Z521" s="351">
        <v>0</v>
      </c>
      <c r="AA521" s="351">
        <v>0</v>
      </c>
      <c r="AB521" s="351">
        <v>0</v>
      </c>
      <c r="AC521" s="351">
        <v>0</v>
      </c>
      <c r="AD521" s="351">
        <v>0</v>
      </c>
      <c r="AE521" s="351">
        <v>0</v>
      </c>
      <c r="AF521" s="351">
        <v>0</v>
      </c>
      <c r="AG521" s="351">
        <v>0</v>
      </c>
      <c r="AH521" s="351">
        <v>0</v>
      </c>
      <c r="AI521" s="351">
        <v>0</v>
      </c>
      <c r="AJ521" s="351">
        <f t="shared" si="222"/>
        <v>83616.72</v>
      </c>
      <c r="AK521" s="351">
        <f t="shared" si="223"/>
        <v>41808.36</v>
      </c>
      <c r="AL521" s="351">
        <v>0</v>
      </c>
      <c r="AM521" s="352"/>
      <c r="AN521" s="352"/>
    </row>
    <row r="522" spans="1:40" s="19" customFormat="1" ht="24.75" hidden="1" customHeight="1">
      <c r="A522" s="599" t="s">
        <v>422</v>
      </c>
      <c r="B522" s="599"/>
      <c r="C522" s="348">
        <f>SUM(C519:C521)</f>
        <v>7482.6</v>
      </c>
      <c r="D522" s="248"/>
      <c r="E522" s="348"/>
      <c r="F522" s="348"/>
      <c r="G522" s="348">
        <f>SUM(G519:G521)</f>
        <v>7496176</v>
      </c>
      <c r="H522" s="348">
        <f t="shared" ref="H522:AL522" si="224">SUM(H519:H521)</f>
        <v>0</v>
      </c>
      <c r="I522" s="348">
        <f t="shared" si="224"/>
        <v>0</v>
      </c>
      <c r="J522" s="348">
        <f t="shared" si="224"/>
        <v>0</v>
      </c>
      <c r="K522" s="348">
        <f t="shared" si="224"/>
        <v>0</v>
      </c>
      <c r="L522" s="348">
        <f t="shared" si="224"/>
        <v>0</v>
      </c>
      <c r="M522" s="348">
        <f t="shared" si="224"/>
        <v>0</v>
      </c>
      <c r="N522" s="348">
        <f t="shared" si="224"/>
        <v>0</v>
      </c>
      <c r="O522" s="348">
        <f t="shared" si="224"/>
        <v>0</v>
      </c>
      <c r="P522" s="348">
        <f t="shared" si="224"/>
        <v>0</v>
      </c>
      <c r="Q522" s="348">
        <f t="shared" si="224"/>
        <v>0</v>
      </c>
      <c r="R522" s="348">
        <f t="shared" si="224"/>
        <v>0</v>
      </c>
      <c r="S522" s="348">
        <f t="shared" si="224"/>
        <v>0</v>
      </c>
      <c r="T522" s="44">
        <f t="shared" si="224"/>
        <v>0</v>
      </c>
      <c r="U522" s="348">
        <f t="shared" si="224"/>
        <v>0</v>
      </c>
      <c r="V522" s="348" t="s">
        <v>387</v>
      </c>
      <c r="W522" s="348">
        <f t="shared" si="224"/>
        <v>2264</v>
      </c>
      <c r="X522" s="348">
        <f t="shared" si="224"/>
        <v>7158848.0800000001</v>
      </c>
      <c r="Y522" s="348">
        <f t="shared" si="224"/>
        <v>0</v>
      </c>
      <c r="Z522" s="348">
        <f t="shared" si="224"/>
        <v>0</v>
      </c>
      <c r="AA522" s="348">
        <f t="shared" si="224"/>
        <v>0</v>
      </c>
      <c r="AB522" s="348">
        <f t="shared" si="224"/>
        <v>0</v>
      </c>
      <c r="AC522" s="348">
        <f t="shared" si="224"/>
        <v>0</v>
      </c>
      <c r="AD522" s="348">
        <f t="shared" si="224"/>
        <v>0</v>
      </c>
      <c r="AE522" s="348">
        <f t="shared" si="224"/>
        <v>0</v>
      </c>
      <c r="AF522" s="348">
        <f t="shared" si="224"/>
        <v>0</v>
      </c>
      <c r="AG522" s="348">
        <f t="shared" si="224"/>
        <v>0</v>
      </c>
      <c r="AH522" s="348">
        <f t="shared" si="224"/>
        <v>0</v>
      </c>
      <c r="AI522" s="348">
        <f t="shared" si="224"/>
        <v>0</v>
      </c>
      <c r="AJ522" s="348">
        <f t="shared" si="224"/>
        <v>224885.28</v>
      </c>
      <c r="AK522" s="348">
        <f t="shared" si="224"/>
        <v>112442.64</v>
      </c>
      <c r="AL522" s="348">
        <f t="shared" si="224"/>
        <v>0</v>
      </c>
      <c r="AM522" s="352"/>
      <c r="AN522" s="352"/>
    </row>
    <row r="523" spans="1:40" s="19" customFormat="1" ht="15" hidden="1" customHeight="1">
      <c r="A523" s="519" t="s">
        <v>248</v>
      </c>
      <c r="B523" s="520"/>
      <c r="C523" s="520"/>
      <c r="D523" s="520"/>
      <c r="E523" s="520"/>
      <c r="F523" s="520"/>
      <c r="G523" s="520"/>
      <c r="H523" s="520"/>
      <c r="I523" s="520"/>
      <c r="J523" s="520"/>
      <c r="K523" s="520"/>
      <c r="L523" s="520"/>
      <c r="M523" s="520"/>
      <c r="N523" s="520"/>
      <c r="O523" s="520"/>
      <c r="P523" s="520"/>
      <c r="Q523" s="520"/>
      <c r="R523" s="520"/>
      <c r="S523" s="520"/>
      <c r="T523" s="520"/>
      <c r="U523" s="520"/>
      <c r="V523" s="520"/>
      <c r="W523" s="520"/>
      <c r="X523" s="520"/>
      <c r="Y523" s="520"/>
      <c r="Z523" s="520"/>
      <c r="AA523" s="520"/>
      <c r="AB523" s="520"/>
      <c r="AC523" s="520"/>
      <c r="AD523" s="520"/>
      <c r="AE523" s="520"/>
      <c r="AF523" s="520"/>
      <c r="AG523" s="520"/>
      <c r="AH523" s="520"/>
      <c r="AI523" s="520"/>
      <c r="AJ523" s="520"/>
      <c r="AK523" s="520"/>
      <c r="AL523" s="521"/>
      <c r="AM523" s="352"/>
      <c r="AN523" s="352"/>
    </row>
    <row r="524" spans="1:40" s="19" customFormat="1" ht="9" hidden="1" customHeight="1">
      <c r="A524" s="349">
        <v>156</v>
      </c>
      <c r="B524" s="203" t="s">
        <v>793</v>
      </c>
      <c r="C524" s="348">
        <v>622.20000000000005</v>
      </c>
      <c r="D524" s="343"/>
      <c r="E524" s="348"/>
      <c r="F524" s="348"/>
      <c r="G524" s="348">
        <v>1781934</v>
      </c>
      <c r="H524" s="348">
        <f t="shared" ref="H524:H527" si="225">I524+K524+M524+O524+Q524+S524</f>
        <v>0</v>
      </c>
      <c r="I524" s="129">
        <v>0</v>
      </c>
      <c r="J524" s="129">
        <v>0</v>
      </c>
      <c r="K524" s="129">
        <v>0</v>
      </c>
      <c r="L524" s="129">
        <v>0</v>
      </c>
      <c r="M524" s="129">
        <v>0</v>
      </c>
      <c r="N524" s="348">
        <v>0</v>
      </c>
      <c r="O524" s="348">
        <v>0</v>
      </c>
      <c r="P524" s="348">
        <v>0</v>
      </c>
      <c r="Q524" s="348">
        <v>0</v>
      </c>
      <c r="R524" s="348">
        <v>0</v>
      </c>
      <c r="S524" s="348">
        <v>0</v>
      </c>
      <c r="T524" s="44">
        <v>0</v>
      </c>
      <c r="U524" s="348">
        <v>0</v>
      </c>
      <c r="V524" s="438" t="s">
        <v>998</v>
      </c>
      <c r="W524" s="353">
        <v>551</v>
      </c>
      <c r="X524" s="348">
        <f t="shared" ref="X524:X527" si="226">ROUND(G524/100*95.5,2)</f>
        <v>1701746.97</v>
      </c>
      <c r="Y524" s="351">
        <v>0</v>
      </c>
      <c r="Z524" s="351">
        <v>0</v>
      </c>
      <c r="AA524" s="351">
        <v>0</v>
      </c>
      <c r="AB524" s="351">
        <v>0</v>
      </c>
      <c r="AC524" s="351">
        <v>0</v>
      </c>
      <c r="AD524" s="351">
        <v>0</v>
      </c>
      <c r="AE524" s="351">
        <v>0</v>
      </c>
      <c r="AF524" s="351">
        <v>0</v>
      </c>
      <c r="AG524" s="351">
        <v>0</v>
      </c>
      <c r="AH524" s="351">
        <v>0</v>
      </c>
      <c r="AI524" s="351">
        <v>0</v>
      </c>
      <c r="AJ524" s="351">
        <f t="shared" ref="AJ524:AJ527" si="227">ROUND(G524/100*3,2)</f>
        <v>53458.02</v>
      </c>
      <c r="AK524" s="351">
        <f t="shared" ref="AK524:AK527" si="228">ROUND(G524/100*1.5,2)</f>
        <v>26729.01</v>
      </c>
      <c r="AL524" s="351">
        <v>0</v>
      </c>
      <c r="AM524" s="352"/>
      <c r="AN524" s="352"/>
    </row>
    <row r="525" spans="1:40" s="19" customFormat="1" ht="9" hidden="1" customHeight="1">
      <c r="A525" s="349">
        <v>157</v>
      </c>
      <c r="B525" s="203" t="s">
        <v>794</v>
      </c>
      <c r="C525" s="348">
        <v>610.79999999999995</v>
      </c>
      <c r="D525" s="343"/>
      <c r="E525" s="348"/>
      <c r="F525" s="348"/>
      <c r="G525" s="348">
        <f>ROUND(H525+U525+X525+Z525+AB525+AD525+AF525+AH525+AI525+AJ525+AK525+AL525,2)</f>
        <v>2018016</v>
      </c>
      <c r="H525" s="348">
        <f t="shared" si="225"/>
        <v>0</v>
      </c>
      <c r="I525" s="129">
        <v>0</v>
      </c>
      <c r="J525" s="129">
        <v>0</v>
      </c>
      <c r="K525" s="129">
        <v>0</v>
      </c>
      <c r="L525" s="129">
        <v>0</v>
      </c>
      <c r="M525" s="129">
        <v>0</v>
      </c>
      <c r="N525" s="348">
        <v>0</v>
      </c>
      <c r="O525" s="348">
        <v>0</v>
      </c>
      <c r="P525" s="348">
        <v>0</v>
      </c>
      <c r="Q525" s="348">
        <v>0</v>
      </c>
      <c r="R525" s="348">
        <v>0</v>
      </c>
      <c r="S525" s="348">
        <v>0</v>
      </c>
      <c r="T525" s="44">
        <v>0</v>
      </c>
      <c r="U525" s="348">
        <v>0</v>
      </c>
      <c r="V525" s="438" t="s">
        <v>998</v>
      </c>
      <c r="W525" s="351">
        <v>624</v>
      </c>
      <c r="X525" s="348">
        <f>ROUND(W525*3234*0.955,2)</f>
        <v>1927205.28</v>
      </c>
      <c r="Y525" s="351">
        <v>0</v>
      </c>
      <c r="Z525" s="351">
        <v>0</v>
      </c>
      <c r="AA525" s="351">
        <v>0</v>
      </c>
      <c r="AB525" s="351">
        <v>0</v>
      </c>
      <c r="AC525" s="351">
        <v>0</v>
      </c>
      <c r="AD525" s="351">
        <v>0</v>
      </c>
      <c r="AE525" s="351">
        <v>0</v>
      </c>
      <c r="AF525" s="351">
        <v>0</v>
      </c>
      <c r="AG525" s="351">
        <v>0</v>
      </c>
      <c r="AH525" s="351">
        <v>0</v>
      </c>
      <c r="AI525" s="351">
        <v>0</v>
      </c>
      <c r="AJ525" s="351">
        <f>ROUND(W525*3234*0.03,2)</f>
        <v>60540.480000000003</v>
      </c>
      <c r="AK525" s="351">
        <f>ROUND(W525*3234*0.015,2)</f>
        <v>30270.240000000002</v>
      </c>
      <c r="AL525" s="351">
        <v>0</v>
      </c>
      <c r="AM525" s="352"/>
      <c r="AN525" s="352"/>
    </row>
    <row r="526" spans="1:40" s="19" customFormat="1" ht="9" hidden="1" customHeight="1">
      <c r="A526" s="349">
        <v>158</v>
      </c>
      <c r="B526" s="203" t="s">
        <v>795</v>
      </c>
      <c r="C526" s="348">
        <v>635.4</v>
      </c>
      <c r="D526" s="343"/>
      <c r="E526" s="348"/>
      <c r="F526" s="348"/>
      <c r="G526" s="348">
        <v>1969506</v>
      </c>
      <c r="H526" s="348">
        <f t="shared" si="225"/>
        <v>0</v>
      </c>
      <c r="I526" s="129">
        <v>0</v>
      </c>
      <c r="J526" s="129">
        <v>0</v>
      </c>
      <c r="K526" s="129">
        <v>0</v>
      </c>
      <c r="L526" s="129">
        <v>0</v>
      </c>
      <c r="M526" s="129">
        <v>0</v>
      </c>
      <c r="N526" s="348">
        <v>0</v>
      </c>
      <c r="O526" s="348">
        <v>0</v>
      </c>
      <c r="P526" s="348">
        <v>0</v>
      </c>
      <c r="Q526" s="348">
        <v>0</v>
      </c>
      <c r="R526" s="348">
        <v>0</v>
      </c>
      <c r="S526" s="348">
        <v>0</v>
      </c>
      <c r="T526" s="44">
        <v>0</v>
      </c>
      <c r="U526" s="348">
        <v>0</v>
      </c>
      <c r="V526" s="438" t="s">
        <v>998</v>
      </c>
      <c r="W526" s="351">
        <v>609</v>
      </c>
      <c r="X526" s="348">
        <f t="shared" si="226"/>
        <v>1880878.23</v>
      </c>
      <c r="Y526" s="351">
        <v>0</v>
      </c>
      <c r="Z526" s="351">
        <v>0</v>
      </c>
      <c r="AA526" s="351">
        <v>0</v>
      </c>
      <c r="AB526" s="351">
        <v>0</v>
      </c>
      <c r="AC526" s="351">
        <v>0</v>
      </c>
      <c r="AD526" s="351">
        <v>0</v>
      </c>
      <c r="AE526" s="351">
        <v>0</v>
      </c>
      <c r="AF526" s="351">
        <v>0</v>
      </c>
      <c r="AG526" s="351">
        <v>0</v>
      </c>
      <c r="AH526" s="351">
        <v>0</v>
      </c>
      <c r="AI526" s="351">
        <v>0</v>
      </c>
      <c r="AJ526" s="351">
        <f t="shared" si="227"/>
        <v>59085.18</v>
      </c>
      <c r="AK526" s="351">
        <f t="shared" si="228"/>
        <v>29542.59</v>
      </c>
      <c r="AL526" s="351">
        <v>0</v>
      </c>
      <c r="AM526" s="352"/>
      <c r="AN526" s="352"/>
    </row>
    <row r="527" spans="1:40" s="19" customFormat="1" ht="9" hidden="1" customHeight="1">
      <c r="A527" s="349">
        <v>159</v>
      </c>
      <c r="B527" s="203" t="s">
        <v>796</v>
      </c>
      <c r="C527" s="348">
        <v>623.5</v>
      </c>
      <c r="D527" s="343"/>
      <c r="E527" s="348"/>
      <c r="F527" s="348"/>
      <c r="G527" s="348">
        <v>2108568</v>
      </c>
      <c r="H527" s="348">
        <f t="shared" si="225"/>
        <v>0</v>
      </c>
      <c r="I527" s="129">
        <v>0</v>
      </c>
      <c r="J527" s="129">
        <v>0</v>
      </c>
      <c r="K527" s="129">
        <v>0</v>
      </c>
      <c r="L527" s="129">
        <v>0</v>
      </c>
      <c r="M527" s="129">
        <v>0</v>
      </c>
      <c r="N527" s="348">
        <v>0</v>
      </c>
      <c r="O527" s="348">
        <v>0</v>
      </c>
      <c r="P527" s="348">
        <v>0</v>
      </c>
      <c r="Q527" s="348">
        <v>0</v>
      </c>
      <c r="R527" s="348">
        <v>0</v>
      </c>
      <c r="S527" s="348">
        <v>0</v>
      </c>
      <c r="T527" s="44">
        <v>0</v>
      </c>
      <c r="U527" s="348">
        <v>0</v>
      </c>
      <c r="V527" s="438" t="s">
        <v>998</v>
      </c>
      <c r="W527" s="351">
        <v>652</v>
      </c>
      <c r="X527" s="348">
        <f t="shared" si="226"/>
        <v>2013682.44</v>
      </c>
      <c r="Y527" s="351">
        <v>0</v>
      </c>
      <c r="Z527" s="351">
        <v>0</v>
      </c>
      <c r="AA527" s="351">
        <v>0</v>
      </c>
      <c r="AB527" s="351">
        <v>0</v>
      </c>
      <c r="AC527" s="351">
        <v>0</v>
      </c>
      <c r="AD527" s="351">
        <v>0</v>
      </c>
      <c r="AE527" s="351">
        <v>0</v>
      </c>
      <c r="AF527" s="351">
        <v>0</v>
      </c>
      <c r="AG527" s="351">
        <v>0</v>
      </c>
      <c r="AH527" s="351">
        <v>0</v>
      </c>
      <c r="AI527" s="351">
        <v>0</v>
      </c>
      <c r="AJ527" s="351">
        <f t="shared" si="227"/>
        <v>63257.04</v>
      </c>
      <c r="AK527" s="351">
        <f t="shared" si="228"/>
        <v>31628.52</v>
      </c>
      <c r="AL527" s="351">
        <v>0</v>
      </c>
      <c r="AM527" s="352"/>
      <c r="AN527" s="352"/>
    </row>
    <row r="528" spans="1:40" s="19" customFormat="1" ht="25.5" hidden="1" customHeight="1">
      <c r="A528" s="599" t="s">
        <v>247</v>
      </c>
      <c r="B528" s="599"/>
      <c r="C528" s="348">
        <f>SUM(C524:C527)</f>
        <v>2491.9</v>
      </c>
      <c r="D528" s="248"/>
      <c r="E528" s="348"/>
      <c r="F528" s="348"/>
      <c r="G528" s="348">
        <f t="shared" ref="G528:U528" si="229">SUM(G524:G527)</f>
        <v>7878024</v>
      </c>
      <c r="H528" s="348">
        <f t="shared" si="229"/>
        <v>0</v>
      </c>
      <c r="I528" s="348">
        <f t="shared" si="229"/>
        <v>0</v>
      </c>
      <c r="J528" s="348">
        <f t="shared" si="229"/>
        <v>0</v>
      </c>
      <c r="K528" s="348">
        <f t="shared" si="229"/>
        <v>0</v>
      </c>
      <c r="L528" s="348">
        <f t="shared" si="229"/>
        <v>0</v>
      </c>
      <c r="M528" s="348">
        <f t="shared" si="229"/>
        <v>0</v>
      </c>
      <c r="N528" s="348">
        <f t="shared" si="229"/>
        <v>0</v>
      </c>
      <c r="O528" s="348">
        <f t="shared" si="229"/>
        <v>0</v>
      </c>
      <c r="P528" s="348">
        <f t="shared" si="229"/>
        <v>0</v>
      </c>
      <c r="Q528" s="348">
        <f t="shared" si="229"/>
        <v>0</v>
      </c>
      <c r="R528" s="348">
        <f t="shared" si="229"/>
        <v>0</v>
      </c>
      <c r="S528" s="348">
        <f t="shared" si="229"/>
        <v>0</v>
      </c>
      <c r="T528" s="44">
        <f t="shared" si="229"/>
        <v>0</v>
      </c>
      <c r="U528" s="348">
        <f t="shared" si="229"/>
        <v>0</v>
      </c>
      <c r="V528" s="348" t="s">
        <v>387</v>
      </c>
      <c r="W528" s="348">
        <f t="shared" ref="W528:AL528" si="230">SUM(W524:W527)</f>
        <v>2436</v>
      </c>
      <c r="X528" s="348">
        <f t="shared" si="230"/>
        <v>7523512.9199999999</v>
      </c>
      <c r="Y528" s="348">
        <f t="shared" si="230"/>
        <v>0</v>
      </c>
      <c r="Z528" s="348">
        <f t="shared" si="230"/>
        <v>0</v>
      </c>
      <c r="AA528" s="348">
        <f t="shared" si="230"/>
        <v>0</v>
      </c>
      <c r="AB528" s="348">
        <f t="shared" si="230"/>
        <v>0</v>
      </c>
      <c r="AC528" s="348">
        <f t="shared" si="230"/>
        <v>0</v>
      </c>
      <c r="AD528" s="348">
        <f t="shared" si="230"/>
        <v>0</v>
      </c>
      <c r="AE528" s="348">
        <f t="shared" si="230"/>
        <v>0</v>
      </c>
      <c r="AF528" s="348">
        <f t="shared" si="230"/>
        <v>0</v>
      </c>
      <c r="AG528" s="348">
        <f t="shared" si="230"/>
        <v>0</v>
      </c>
      <c r="AH528" s="348">
        <f t="shared" si="230"/>
        <v>0</v>
      </c>
      <c r="AI528" s="348">
        <f t="shared" si="230"/>
        <v>0</v>
      </c>
      <c r="AJ528" s="348">
        <f t="shared" si="230"/>
        <v>236340.72</v>
      </c>
      <c r="AK528" s="348">
        <f t="shared" si="230"/>
        <v>118170.36</v>
      </c>
      <c r="AL528" s="348">
        <f t="shared" si="230"/>
        <v>0</v>
      </c>
      <c r="AM528" s="352"/>
      <c r="AN528" s="352"/>
    </row>
    <row r="529" spans="1:40" s="19" customFormat="1" ht="14.25" hidden="1" customHeight="1">
      <c r="A529" s="514" t="s">
        <v>256</v>
      </c>
      <c r="B529" s="515"/>
      <c r="C529" s="515"/>
      <c r="D529" s="515"/>
      <c r="E529" s="515"/>
      <c r="F529" s="515"/>
      <c r="G529" s="515"/>
      <c r="H529" s="515"/>
      <c r="I529" s="515"/>
      <c r="J529" s="515"/>
      <c r="K529" s="515"/>
      <c r="L529" s="515"/>
      <c r="M529" s="515"/>
      <c r="N529" s="515"/>
      <c r="O529" s="515"/>
      <c r="P529" s="515"/>
      <c r="Q529" s="515"/>
      <c r="R529" s="515"/>
      <c r="S529" s="515"/>
      <c r="T529" s="515"/>
      <c r="U529" s="515"/>
      <c r="V529" s="515"/>
      <c r="W529" s="515"/>
      <c r="X529" s="515"/>
      <c r="Y529" s="515"/>
      <c r="Z529" s="515"/>
      <c r="AA529" s="515"/>
      <c r="AB529" s="515"/>
      <c r="AC529" s="515"/>
      <c r="AD529" s="515"/>
      <c r="AE529" s="515"/>
      <c r="AF529" s="515"/>
      <c r="AG529" s="515"/>
      <c r="AH529" s="515"/>
      <c r="AI529" s="515"/>
      <c r="AJ529" s="515"/>
      <c r="AK529" s="515"/>
      <c r="AL529" s="516"/>
      <c r="AM529" s="352"/>
      <c r="AN529" s="352"/>
    </row>
    <row r="530" spans="1:40" s="19" customFormat="1" ht="9" hidden="1" customHeight="1">
      <c r="A530" s="78">
        <v>160</v>
      </c>
      <c r="B530" s="346" t="s">
        <v>801</v>
      </c>
      <c r="C530" s="348">
        <v>702.8</v>
      </c>
      <c r="D530" s="343"/>
      <c r="E530" s="348"/>
      <c r="F530" s="348"/>
      <c r="G530" s="348">
        <v>2076616.08</v>
      </c>
      <c r="H530" s="348">
        <f t="shared" ref="H530:H531" si="231">I530+K530+M530+O530+Q530+S530</f>
        <v>0</v>
      </c>
      <c r="I530" s="129">
        <v>0</v>
      </c>
      <c r="J530" s="129">
        <v>0</v>
      </c>
      <c r="K530" s="129">
        <v>0</v>
      </c>
      <c r="L530" s="129">
        <v>0</v>
      </c>
      <c r="M530" s="129">
        <v>0</v>
      </c>
      <c r="N530" s="348">
        <v>0</v>
      </c>
      <c r="O530" s="348">
        <v>0</v>
      </c>
      <c r="P530" s="348">
        <v>0</v>
      </c>
      <c r="Q530" s="348">
        <v>0</v>
      </c>
      <c r="R530" s="348">
        <v>0</v>
      </c>
      <c r="S530" s="348">
        <v>0</v>
      </c>
      <c r="T530" s="44">
        <v>0</v>
      </c>
      <c r="U530" s="348">
        <v>0</v>
      </c>
      <c r="V530" s="438" t="s">
        <v>998</v>
      </c>
      <c r="W530" s="25">
        <v>642.12</v>
      </c>
      <c r="X530" s="348">
        <f t="shared" ref="X530:X531" si="232">ROUND(G530/100*95.5,2)</f>
        <v>1983168.36</v>
      </c>
      <c r="Y530" s="351">
        <v>0</v>
      </c>
      <c r="Z530" s="351">
        <v>0</v>
      </c>
      <c r="AA530" s="351">
        <v>0</v>
      </c>
      <c r="AB530" s="351">
        <v>0</v>
      </c>
      <c r="AC530" s="351">
        <v>0</v>
      </c>
      <c r="AD530" s="351">
        <v>0</v>
      </c>
      <c r="AE530" s="351">
        <v>0</v>
      </c>
      <c r="AF530" s="351">
        <v>0</v>
      </c>
      <c r="AG530" s="351">
        <v>0</v>
      </c>
      <c r="AH530" s="351">
        <v>0</v>
      </c>
      <c r="AI530" s="351">
        <v>0</v>
      </c>
      <c r="AJ530" s="351">
        <f t="shared" ref="AJ530:AJ531" si="233">ROUND(G530/100*3,2)</f>
        <v>62298.48</v>
      </c>
      <c r="AK530" s="351">
        <f t="shared" ref="AK530:AK531" si="234">ROUND(G530/100*1.5,2)</f>
        <v>31149.24</v>
      </c>
      <c r="AL530" s="351">
        <v>0</v>
      </c>
      <c r="AM530" s="352"/>
      <c r="AN530" s="352"/>
    </row>
    <row r="531" spans="1:40" s="19" customFormat="1" ht="9" hidden="1" customHeight="1">
      <c r="A531" s="78">
        <v>161</v>
      </c>
      <c r="B531" s="346" t="s">
        <v>802</v>
      </c>
      <c r="C531" s="348">
        <v>1798.2</v>
      </c>
      <c r="D531" s="343"/>
      <c r="E531" s="348"/>
      <c r="F531" s="348"/>
      <c r="G531" s="348">
        <v>3104640</v>
      </c>
      <c r="H531" s="348">
        <f t="shared" si="231"/>
        <v>0</v>
      </c>
      <c r="I531" s="129">
        <v>0</v>
      </c>
      <c r="J531" s="129">
        <v>0</v>
      </c>
      <c r="K531" s="129">
        <v>0</v>
      </c>
      <c r="L531" s="129">
        <v>0</v>
      </c>
      <c r="M531" s="129">
        <v>0</v>
      </c>
      <c r="N531" s="348">
        <v>0</v>
      </c>
      <c r="O531" s="348">
        <v>0</v>
      </c>
      <c r="P531" s="348">
        <v>0</v>
      </c>
      <c r="Q531" s="348">
        <v>0</v>
      </c>
      <c r="R531" s="348">
        <v>0</v>
      </c>
      <c r="S531" s="348">
        <v>0</v>
      </c>
      <c r="T531" s="44">
        <v>0</v>
      </c>
      <c r="U531" s="348">
        <v>0</v>
      </c>
      <c r="V531" s="438" t="s">
        <v>998</v>
      </c>
      <c r="W531" s="25">
        <v>960</v>
      </c>
      <c r="X531" s="348">
        <f t="shared" si="232"/>
        <v>2964931.2</v>
      </c>
      <c r="Y531" s="351">
        <v>0</v>
      </c>
      <c r="Z531" s="351">
        <v>0</v>
      </c>
      <c r="AA531" s="351">
        <v>0</v>
      </c>
      <c r="AB531" s="351">
        <v>0</v>
      </c>
      <c r="AC531" s="351">
        <v>0</v>
      </c>
      <c r="AD531" s="351">
        <v>0</v>
      </c>
      <c r="AE531" s="351">
        <v>0</v>
      </c>
      <c r="AF531" s="351">
        <v>0</v>
      </c>
      <c r="AG531" s="351">
        <v>0</v>
      </c>
      <c r="AH531" s="351">
        <v>0</v>
      </c>
      <c r="AI531" s="351">
        <v>0</v>
      </c>
      <c r="AJ531" s="351">
        <f t="shared" si="233"/>
        <v>93139.199999999997</v>
      </c>
      <c r="AK531" s="351">
        <f t="shared" si="234"/>
        <v>46569.599999999999</v>
      </c>
      <c r="AL531" s="351">
        <v>0</v>
      </c>
      <c r="AM531" s="352"/>
      <c r="AN531" s="352"/>
    </row>
    <row r="532" spans="1:40" s="19" customFormat="1" ht="28.5" hidden="1" customHeight="1">
      <c r="A532" s="606" t="s">
        <v>258</v>
      </c>
      <c r="B532" s="606"/>
      <c r="C532" s="79">
        <f>SUM(C530:C531)</f>
        <v>2501</v>
      </c>
      <c r="D532" s="249"/>
      <c r="E532" s="348"/>
      <c r="F532" s="348"/>
      <c r="G532" s="79">
        <f>SUM(G530:G531)</f>
        <v>5181256.08</v>
      </c>
      <c r="H532" s="79">
        <f t="shared" ref="H532:AN532" si="235">SUM(H530:H531)</f>
        <v>0</v>
      </c>
      <c r="I532" s="79">
        <f t="shared" si="235"/>
        <v>0</v>
      </c>
      <c r="J532" s="79">
        <f t="shared" si="235"/>
        <v>0</v>
      </c>
      <c r="K532" s="79">
        <f t="shared" si="235"/>
        <v>0</v>
      </c>
      <c r="L532" s="79">
        <f t="shared" si="235"/>
        <v>0</v>
      </c>
      <c r="M532" s="79">
        <f t="shared" si="235"/>
        <v>0</v>
      </c>
      <c r="N532" s="79">
        <f t="shared" si="235"/>
        <v>0</v>
      </c>
      <c r="O532" s="79">
        <f t="shared" si="235"/>
        <v>0</v>
      </c>
      <c r="P532" s="79">
        <f t="shared" si="235"/>
        <v>0</v>
      </c>
      <c r="Q532" s="79">
        <f t="shared" si="235"/>
        <v>0</v>
      </c>
      <c r="R532" s="79">
        <f t="shared" si="235"/>
        <v>0</v>
      </c>
      <c r="S532" s="79">
        <f t="shared" si="235"/>
        <v>0</v>
      </c>
      <c r="T532" s="102">
        <f t="shared" si="235"/>
        <v>0</v>
      </c>
      <c r="U532" s="79">
        <f t="shared" si="235"/>
        <v>0</v>
      </c>
      <c r="V532" s="348" t="s">
        <v>387</v>
      </c>
      <c r="W532" s="79">
        <f t="shared" si="235"/>
        <v>1602.12</v>
      </c>
      <c r="X532" s="79">
        <f t="shared" si="235"/>
        <v>4948099.5600000005</v>
      </c>
      <c r="Y532" s="79">
        <f t="shared" si="235"/>
        <v>0</v>
      </c>
      <c r="Z532" s="79">
        <f t="shared" si="235"/>
        <v>0</v>
      </c>
      <c r="AA532" s="79">
        <f t="shared" si="235"/>
        <v>0</v>
      </c>
      <c r="AB532" s="79">
        <f t="shared" si="235"/>
        <v>0</v>
      </c>
      <c r="AC532" s="79">
        <f t="shared" si="235"/>
        <v>0</v>
      </c>
      <c r="AD532" s="79">
        <f t="shared" si="235"/>
        <v>0</v>
      </c>
      <c r="AE532" s="79">
        <f t="shared" si="235"/>
        <v>0</v>
      </c>
      <c r="AF532" s="79">
        <f t="shared" si="235"/>
        <v>0</v>
      </c>
      <c r="AG532" s="79">
        <f t="shared" si="235"/>
        <v>0</v>
      </c>
      <c r="AH532" s="79">
        <f t="shared" si="235"/>
        <v>0</v>
      </c>
      <c r="AI532" s="79">
        <f t="shared" si="235"/>
        <v>0</v>
      </c>
      <c r="AJ532" s="79">
        <f t="shared" si="235"/>
        <v>155437.68</v>
      </c>
      <c r="AK532" s="79">
        <f t="shared" si="235"/>
        <v>77718.84</v>
      </c>
      <c r="AL532" s="79">
        <f t="shared" si="235"/>
        <v>0</v>
      </c>
      <c r="AM532" s="79">
        <f t="shared" si="235"/>
        <v>0</v>
      </c>
      <c r="AN532" s="79">
        <f t="shared" si="235"/>
        <v>0</v>
      </c>
    </row>
    <row r="533" spans="1:40" s="19" customFormat="1" ht="15" hidden="1" customHeight="1">
      <c r="A533" s="519" t="s">
        <v>391</v>
      </c>
      <c r="B533" s="520"/>
      <c r="C533" s="520"/>
      <c r="D533" s="520"/>
      <c r="E533" s="520"/>
      <c r="F533" s="520"/>
      <c r="G533" s="520"/>
      <c r="H533" s="520"/>
      <c r="I533" s="520"/>
      <c r="J533" s="520"/>
      <c r="K533" s="520"/>
      <c r="L533" s="520"/>
      <c r="M533" s="520"/>
      <c r="N533" s="520"/>
      <c r="O533" s="520"/>
      <c r="P533" s="520"/>
      <c r="Q533" s="520"/>
      <c r="R533" s="520"/>
      <c r="S533" s="520"/>
      <c r="T533" s="520"/>
      <c r="U533" s="520"/>
      <c r="V533" s="520"/>
      <c r="W533" s="520"/>
      <c r="X533" s="520"/>
      <c r="Y533" s="520"/>
      <c r="Z533" s="520"/>
      <c r="AA533" s="520"/>
      <c r="AB533" s="520"/>
      <c r="AC533" s="520"/>
      <c r="AD533" s="520"/>
      <c r="AE533" s="520"/>
      <c r="AF533" s="520"/>
      <c r="AG533" s="520"/>
      <c r="AH533" s="520"/>
      <c r="AI533" s="520"/>
      <c r="AJ533" s="520"/>
      <c r="AK533" s="520"/>
      <c r="AL533" s="521"/>
      <c r="AM533" s="352"/>
      <c r="AN533" s="352"/>
    </row>
    <row r="534" spans="1:40" s="19" customFormat="1" ht="9" hidden="1" customHeight="1">
      <c r="A534" s="349">
        <v>162</v>
      </c>
      <c r="B534" s="346" t="s">
        <v>823</v>
      </c>
      <c r="C534" s="348">
        <v>961.6</v>
      </c>
      <c r="D534" s="343"/>
      <c r="E534" s="348"/>
      <c r="F534" s="348"/>
      <c r="G534" s="348">
        <v>1500300</v>
      </c>
      <c r="H534" s="348">
        <f t="shared" ref="H534:H535" si="236">I534+K534+M534+O534+Q534+S534</f>
        <v>0</v>
      </c>
      <c r="I534" s="129">
        <v>0</v>
      </c>
      <c r="J534" s="129">
        <v>0</v>
      </c>
      <c r="K534" s="129">
        <v>0</v>
      </c>
      <c r="L534" s="129">
        <v>0</v>
      </c>
      <c r="M534" s="129">
        <v>0</v>
      </c>
      <c r="N534" s="348">
        <v>0</v>
      </c>
      <c r="O534" s="348">
        <v>0</v>
      </c>
      <c r="P534" s="348">
        <v>0</v>
      </c>
      <c r="Q534" s="348">
        <v>0</v>
      </c>
      <c r="R534" s="348">
        <v>0</v>
      </c>
      <c r="S534" s="348">
        <v>0</v>
      </c>
      <c r="T534" s="44">
        <v>0</v>
      </c>
      <c r="U534" s="348">
        <v>0</v>
      </c>
      <c r="V534" s="438" t="s">
        <v>997</v>
      </c>
      <c r="W534" s="351">
        <v>450</v>
      </c>
      <c r="X534" s="348">
        <f t="shared" ref="X534:X535" si="237">ROUND(G534/100*95.5,2)</f>
        <v>1432786.5</v>
      </c>
      <c r="Y534" s="351">
        <v>0</v>
      </c>
      <c r="Z534" s="351">
        <v>0</v>
      </c>
      <c r="AA534" s="351">
        <v>0</v>
      </c>
      <c r="AB534" s="351">
        <v>0</v>
      </c>
      <c r="AC534" s="351">
        <v>0</v>
      </c>
      <c r="AD534" s="351">
        <v>0</v>
      </c>
      <c r="AE534" s="351">
        <v>0</v>
      </c>
      <c r="AF534" s="351">
        <v>0</v>
      </c>
      <c r="AG534" s="351">
        <v>0</v>
      </c>
      <c r="AH534" s="351">
        <v>0</v>
      </c>
      <c r="AI534" s="351">
        <v>0</v>
      </c>
      <c r="AJ534" s="351">
        <f t="shared" ref="AJ534:AJ535" si="238">ROUND(G534/100*3,2)</f>
        <v>45009</v>
      </c>
      <c r="AK534" s="351">
        <f t="shared" ref="AK534:AK535" si="239">ROUND(G534/100*1.5,2)</f>
        <v>22504.5</v>
      </c>
      <c r="AL534" s="351">
        <v>0</v>
      </c>
      <c r="AM534" s="352"/>
      <c r="AN534" s="352"/>
    </row>
    <row r="535" spans="1:40" s="19" customFormat="1" ht="9" hidden="1" customHeight="1">
      <c r="A535" s="349">
        <v>163</v>
      </c>
      <c r="B535" s="346" t="s">
        <v>824</v>
      </c>
      <c r="C535" s="348">
        <v>964.1</v>
      </c>
      <c r="D535" s="343"/>
      <c r="E535" s="348"/>
      <c r="F535" s="348"/>
      <c r="G535" s="348">
        <v>1500300</v>
      </c>
      <c r="H535" s="348">
        <f t="shared" si="236"/>
        <v>0</v>
      </c>
      <c r="I535" s="129">
        <v>0</v>
      </c>
      <c r="J535" s="129">
        <v>0</v>
      </c>
      <c r="K535" s="129">
        <v>0</v>
      </c>
      <c r="L535" s="129">
        <v>0</v>
      </c>
      <c r="M535" s="129">
        <v>0</v>
      </c>
      <c r="N535" s="348">
        <v>0</v>
      </c>
      <c r="O535" s="348">
        <v>0</v>
      </c>
      <c r="P535" s="348">
        <v>0</v>
      </c>
      <c r="Q535" s="348">
        <v>0</v>
      </c>
      <c r="R535" s="348">
        <v>0</v>
      </c>
      <c r="S535" s="348">
        <v>0</v>
      </c>
      <c r="T535" s="44">
        <v>0</v>
      </c>
      <c r="U535" s="348">
        <v>0</v>
      </c>
      <c r="V535" s="438" t="s">
        <v>997</v>
      </c>
      <c r="W535" s="351">
        <v>450</v>
      </c>
      <c r="X535" s="348">
        <f t="shared" si="237"/>
        <v>1432786.5</v>
      </c>
      <c r="Y535" s="351">
        <v>0</v>
      </c>
      <c r="Z535" s="351">
        <v>0</v>
      </c>
      <c r="AA535" s="351">
        <v>0</v>
      </c>
      <c r="AB535" s="351">
        <v>0</v>
      </c>
      <c r="AC535" s="351">
        <v>0</v>
      </c>
      <c r="AD535" s="351">
        <v>0</v>
      </c>
      <c r="AE535" s="351">
        <v>0</v>
      </c>
      <c r="AF535" s="351">
        <v>0</v>
      </c>
      <c r="AG535" s="351">
        <v>0</v>
      </c>
      <c r="AH535" s="351">
        <v>0</v>
      </c>
      <c r="AI535" s="351">
        <v>0</v>
      </c>
      <c r="AJ535" s="351">
        <f t="shared" si="238"/>
        <v>45009</v>
      </c>
      <c r="AK535" s="351">
        <f t="shared" si="239"/>
        <v>22504.5</v>
      </c>
      <c r="AL535" s="351">
        <v>0</v>
      </c>
      <c r="AM535" s="352"/>
      <c r="AN535" s="352"/>
    </row>
    <row r="536" spans="1:40" s="19" customFormat="1" ht="9" hidden="1" customHeight="1">
      <c r="A536" s="349">
        <v>164</v>
      </c>
      <c r="B536" s="346" t="s">
        <v>825</v>
      </c>
      <c r="C536" s="348">
        <v>961.6</v>
      </c>
      <c r="D536" s="343"/>
      <c r="E536" s="348"/>
      <c r="F536" s="348"/>
      <c r="G536" s="348">
        <v>1500300</v>
      </c>
      <c r="H536" s="348">
        <f t="shared" ref="H536:H546" si="240">I536+K536+M536+O536+Q536+S536</f>
        <v>0</v>
      </c>
      <c r="I536" s="129">
        <v>0</v>
      </c>
      <c r="J536" s="129">
        <v>0</v>
      </c>
      <c r="K536" s="129">
        <v>0</v>
      </c>
      <c r="L536" s="129">
        <v>0</v>
      </c>
      <c r="M536" s="129">
        <v>0</v>
      </c>
      <c r="N536" s="348">
        <v>0</v>
      </c>
      <c r="O536" s="348">
        <v>0</v>
      </c>
      <c r="P536" s="348">
        <v>0</v>
      </c>
      <c r="Q536" s="348">
        <v>0</v>
      </c>
      <c r="R536" s="348">
        <v>0</v>
      </c>
      <c r="S536" s="348">
        <v>0</v>
      </c>
      <c r="T536" s="44">
        <v>0</v>
      </c>
      <c r="U536" s="348">
        <v>0</v>
      </c>
      <c r="V536" s="438" t="s">
        <v>997</v>
      </c>
      <c r="W536" s="351">
        <v>450</v>
      </c>
      <c r="X536" s="348">
        <f t="shared" ref="X536:X545" si="241">ROUND(G536/100*95.5,2)</f>
        <v>1432786.5</v>
      </c>
      <c r="Y536" s="351">
        <v>0</v>
      </c>
      <c r="Z536" s="351">
        <v>0</v>
      </c>
      <c r="AA536" s="351">
        <v>0</v>
      </c>
      <c r="AB536" s="351">
        <v>0</v>
      </c>
      <c r="AC536" s="351">
        <v>0</v>
      </c>
      <c r="AD536" s="351">
        <v>0</v>
      </c>
      <c r="AE536" s="351">
        <v>0</v>
      </c>
      <c r="AF536" s="351">
        <v>0</v>
      </c>
      <c r="AG536" s="351">
        <v>0</v>
      </c>
      <c r="AH536" s="351">
        <v>0</v>
      </c>
      <c r="AI536" s="351">
        <v>0</v>
      </c>
      <c r="AJ536" s="351">
        <f t="shared" ref="AJ536:AJ545" si="242">ROUND(G536/100*3,2)</f>
        <v>45009</v>
      </c>
      <c r="AK536" s="351">
        <f t="shared" ref="AK536:AK545" si="243">ROUND(G536/100*1.5,2)</f>
        <v>22504.5</v>
      </c>
      <c r="AL536" s="351">
        <v>0</v>
      </c>
      <c r="AM536" s="352"/>
      <c r="AN536" s="352"/>
    </row>
    <row r="537" spans="1:40" s="19" customFormat="1" ht="9" hidden="1" customHeight="1">
      <c r="A537" s="349">
        <v>165</v>
      </c>
      <c r="B537" s="346" t="s">
        <v>826</v>
      </c>
      <c r="C537" s="348">
        <v>1676.6</v>
      </c>
      <c r="D537" s="343"/>
      <c r="E537" s="348"/>
      <c r="F537" s="348"/>
      <c r="G537" s="348">
        <v>3596208</v>
      </c>
      <c r="H537" s="348">
        <f t="shared" si="240"/>
        <v>0</v>
      </c>
      <c r="I537" s="129">
        <v>0</v>
      </c>
      <c r="J537" s="129">
        <v>0</v>
      </c>
      <c r="K537" s="129">
        <v>0</v>
      </c>
      <c r="L537" s="129">
        <v>0</v>
      </c>
      <c r="M537" s="129">
        <v>0</v>
      </c>
      <c r="N537" s="348">
        <v>0</v>
      </c>
      <c r="O537" s="348">
        <v>0</v>
      </c>
      <c r="P537" s="348">
        <v>0</v>
      </c>
      <c r="Q537" s="348">
        <v>0</v>
      </c>
      <c r="R537" s="348">
        <v>0</v>
      </c>
      <c r="S537" s="348">
        <v>0</v>
      </c>
      <c r="T537" s="44">
        <v>0</v>
      </c>
      <c r="U537" s="348">
        <v>0</v>
      </c>
      <c r="V537" s="438" t="s">
        <v>998</v>
      </c>
      <c r="W537" s="351">
        <v>1112</v>
      </c>
      <c r="X537" s="348">
        <f t="shared" si="241"/>
        <v>3434378.64</v>
      </c>
      <c r="Y537" s="351">
        <v>0</v>
      </c>
      <c r="Z537" s="351">
        <v>0</v>
      </c>
      <c r="AA537" s="351">
        <v>0</v>
      </c>
      <c r="AB537" s="351">
        <v>0</v>
      </c>
      <c r="AC537" s="351">
        <v>0</v>
      </c>
      <c r="AD537" s="351">
        <v>0</v>
      </c>
      <c r="AE537" s="351">
        <v>0</v>
      </c>
      <c r="AF537" s="351">
        <v>0</v>
      </c>
      <c r="AG537" s="351">
        <v>0</v>
      </c>
      <c r="AH537" s="351">
        <v>0</v>
      </c>
      <c r="AI537" s="351">
        <v>0</v>
      </c>
      <c r="AJ537" s="351">
        <f t="shared" si="242"/>
        <v>107886.24</v>
      </c>
      <c r="AK537" s="351">
        <f t="shared" si="243"/>
        <v>53943.12</v>
      </c>
      <c r="AL537" s="351">
        <v>0</v>
      </c>
      <c r="AM537" s="352"/>
      <c r="AN537" s="352"/>
    </row>
    <row r="538" spans="1:40" s="19" customFormat="1" ht="9" hidden="1" customHeight="1">
      <c r="A538" s="349">
        <v>166</v>
      </c>
      <c r="B538" s="346" t="s">
        <v>827</v>
      </c>
      <c r="C538" s="348">
        <v>1295.5999999999999</v>
      </c>
      <c r="D538" s="343"/>
      <c r="E538" s="348"/>
      <c r="F538" s="348"/>
      <c r="G538" s="348">
        <v>2572514.4</v>
      </c>
      <c r="H538" s="348">
        <f t="shared" si="240"/>
        <v>0</v>
      </c>
      <c r="I538" s="129">
        <v>0</v>
      </c>
      <c r="J538" s="129">
        <v>0</v>
      </c>
      <c r="K538" s="129">
        <v>0</v>
      </c>
      <c r="L538" s="129">
        <v>0</v>
      </c>
      <c r="M538" s="129">
        <v>0</v>
      </c>
      <c r="N538" s="348">
        <v>0</v>
      </c>
      <c r="O538" s="348">
        <v>0</v>
      </c>
      <c r="P538" s="348">
        <v>0</v>
      </c>
      <c r="Q538" s="348">
        <v>0</v>
      </c>
      <c r="R538" s="348">
        <v>0</v>
      </c>
      <c r="S538" s="348">
        <v>0</v>
      </c>
      <c r="T538" s="44">
        <v>0</v>
      </c>
      <c r="U538" s="348">
        <v>0</v>
      </c>
      <c r="V538" s="438" t="s">
        <v>997</v>
      </c>
      <c r="W538" s="351">
        <v>771.6</v>
      </c>
      <c r="X538" s="348">
        <f t="shared" si="241"/>
        <v>2456751.25</v>
      </c>
      <c r="Y538" s="351">
        <v>0</v>
      </c>
      <c r="Z538" s="351">
        <v>0</v>
      </c>
      <c r="AA538" s="351">
        <v>0</v>
      </c>
      <c r="AB538" s="351">
        <v>0</v>
      </c>
      <c r="AC538" s="351">
        <v>0</v>
      </c>
      <c r="AD538" s="351">
        <v>0</v>
      </c>
      <c r="AE538" s="351">
        <v>0</v>
      </c>
      <c r="AF538" s="351">
        <v>0</v>
      </c>
      <c r="AG538" s="351">
        <v>0</v>
      </c>
      <c r="AH538" s="351">
        <v>0</v>
      </c>
      <c r="AI538" s="351">
        <v>0</v>
      </c>
      <c r="AJ538" s="351">
        <f t="shared" si="242"/>
        <v>77175.429999999993</v>
      </c>
      <c r="AK538" s="351">
        <f t="shared" si="243"/>
        <v>38587.72</v>
      </c>
      <c r="AL538" s="351">
        <v>0</v>
      </c>
      <c r="AM538" s="352"/>
      <c r="AN538" s="352"/>
    </row>
    <row r="539" spans="1:40" s="19" customFormat="1" ht="9" hidden="1" customHeight="1">
      <c r="A539" s="349">
        <v>167</v>
      </c>
      <c r="B539" s="346" t="s">
        <v>828</v>
      </c>
      <c r="C539" s="348">
        <v>1545</v>
      </c>
      <c r="D539" s="343"/>
      <c r="E539" s="348"/>
      <c r="F539" s="348"/>
      <c r="G539" s="348">
        <v>3104640</v>
      </c>
      <c r="H539" s="348">
        <f t="shared" si="240"/>
        <v>0</v>
      </c>
      <c r="I539" s="129">
        <v>0</v>
      </c>
      <c r="J539" s="129">
        <v>0</v>
      </c>
      <c r="K539" s="129">
        <v>0</v>
      </c>
      <c r="L539" s="129">
        <v>0</v>
      </c>
      <c r="M539" s="129">
        <v>0</v>
      </c>
      <c r="N539" s="348">
        <v>0</v>
      </c>
      <c r="O539" s="348">
        <v>0</v>
      </c>
      <c r="P539" s="348">
        <v>0</v>
      </c>
      <c r="Q539" s="348">
        <v>0</v>
      </c>
      <c r="R539" s="348">
        <v>0</v>
      </c>
      <c r="S539" s="348">
        <v>0</v>
      </c>
      <c r="T539" s="44">
        <v>0</v>
      </c>
      <c r="U539" s="348">
        <v>0</v>
      </c>
      <c r="V539" s="438" t="s">
        <v>998</v>
      </c>
      <c r="W539" s="351">
        <v>960</v>
      </c>
      <c r="X539" s="348">
        <f t="shared" si="241"/>
        <v>2964931.2</v>
      </c>
      <c r="Y539" s="351">
        <v>0</v>
      </c>
      <c r="Z539" s="351">
        <v>0</v>
      </c>
      <c r="AA539" s="351">
        <v>0</v>
      </c>
      <c r="AB539" s="351">
        <v>0</v>
      </c>
      <c r="AC539" s="351">
        <v>0</v>
      </c>
      <c r="AD539" s="351">
        <v>0</v>
      </c>
      <c r="AE539" s="351">
        <v>0</v>
      </c>
      <c r="AF539" s="351">
        <v>0</v>
      </c>
      <c r="AG539" s="351">
        <v>0</v>
      </c>
      <c r="AH539" s="351">
        <v>0</v>
      </c>
      <c r="AI539" s="351">
        <v>0</v>
      </c>
      <c r="AJ539" s="351">
        <f t="shared" si="242"/>
        <v>93139.199999999997</v>
      </c>
      <c r="AK539" s="351">
        <f t="shared" si="243"/>
        <v>46569.599999999999</v>
      </c>
      <c r="AL539" s="351">
        <v>0</v>
      </c>
      <c r="AM539" s="352"/>
      <c r="AN539" s="352"/>
    </row>
    <row r="540" spans="1:40" s="19" customFormat="1" ht="9" hidden="1" customHeight="1">
      <c r="A540" s="349">
        <v>168</v>
      </c>
      <c r="B540" s="346" t="s">
        <v>829</v>
      </c>
      <c r="C540" s="348">
        <v>1546.6</v>
      </c>
      <c r="D540" s="343"/>
      <c r="E540" s="348"/>
      <c r="F540" s="348"/>
      <c r="G540" s="348">
        <v>3104640</v>
      </c>
      <c r="H540" s="348">
        <f t="shared" si="240"/>
        <v>0</v>
      </c>
      <c r="I540" s="129">
        <v>0</v>
      </c>
      <c r="J540" s="129">
        <v>0</v>
      </c>
      <c r="K540" s="129">
        <v>0</v>
      </c>
      <c r="L540" s="129">
        <v>0</v>
      </c>
      <c r="M540" s="129">
        <v>0</v>
      </c>
      <c r="N540" s="348">
        <v>0</v>
      </c>
      <c r="O540" s="348">
        <v>0</v>
      </c>
      <c r="P540" s="348">
        <v>0</v>
      </c>
      <c r="Q540" s="348">
        <v>0</v>
      </c>
      <c r="R540" s="348">
        <v>0</v>
      </c>
      <c r="S540" s="348">
        <v>0</v>
      </c>
      <c r="T540" s="44">
        <v>0</v>
      </c>
      <c r="U540" s="348">
        <v>0</v>
      </c>
      <c r="V540" s="438" t="s">
        <v>998</v>
      </c>
      <c r="W540" s="351">
        <v>960</v>
      </c>
      <c r="X540" s="348">
        <f t="shared" si="241"/>
        <v>2964931.2</v>
      </c>
      <c r="Y540" s="351">
        <v>0</v>
      </c>
      <c r="Z540" s="351">
        <v>0</v>
      </c>
      <c r="AA540" s="351">
        <v>0</v>
      </c>
      <c r="AB540" s="351">
        <v>0</v>
      </c>
      <c r="AC540" s="351">
        <v>0</v>
      </c>
      <c r="AD540" s="351">
        <v>0</v>
      </c>
      <c r="AE540" s="351">
        <v>0</v>
      </c>
      <c r="AF540" s="351">
        <v>0</v>
      </c>
      <c r="AG540" s="351">
        <v>0</v>
      </c>
      <c r="AH540" s="351">
        <v>0</v>
      </c>
      <c r="AI540" s="351">
        <v>0</v>
      </c>
      <c r="AJ540" s="351">
        <f t="shared" si="242"/>
        <v>93139.199999999997</v>
      </c>
      <c r="AK540" s="351">
        <f t="shared" si="243"/>
        <v>46569.599999999999</v>
      </c>
      <c r="AL540" s="351">
        <v>0</v>
      </c>
      <c r="AM540" s="352"/>
      <c r="AN540" s="352"/>
    </row>
    <row r="541" spans="1:40" s="19" customFormat="1" ht="9" hidden="1" customHeight="1">
      <c r="A541" s="349">
        <v>169</v>
      </c>
      <c r="B541" s="346" t="s">
        <v>830</v>
      </c>
      <c r="C541" s="348">
        <v>208.8</v>
      </c>
      <c r="D541" s="343"/>
      <c r="E541" s="348"/>
      <c r="F541" s="348"/>
      <c r="G541" s="348">
        <v>740586</v>
      </c>
      <c r="H541" s="348">
        <f t="shared" si="240"/>
        <v>0</v>
      </c>
      <c r="I541" s="129">
        <v>0</v>
      </c>
      <c r="J541" s="129">
        <v>0</v>
      </c>
      <c r="K541" s="129">
        <v>0</v>
      </c>
      <c r="L541" s="129">
        <v>0</v>
      </c>
      <c r="M541" s="129">
        <v>0</v>
      </c>
      <c r="N541" s="348">
        <v>0</v>
      </c>
      <c r="O541" s="348">
        <v>0</v>
      </c>
      <c r="P541" s="348">
        <v>0</v>
      </c>
      <c r="Q541" s="348">
        <v>0</v>
      </c>
      <c r="R541" s="348">
        <v>0</v>
      </c>
      <c r="S541" s="348">
        <v>0</v>
      </c>
      <c r="T541" s="44">
        <v>0</v>
      </c>
      <c r="U541" s="348">
        <v>0</v>
      </c>
      <c r="V541" s="438" t="s">
        <v>998</v>
      </c>
      <c r="W541" s="351">
        <v>229</v>
      </c>
      <c r="X541" s="348">
        <f t="shared" si="241"/>
        <v>707259.63</v>
      </c>
      <c r="Y541" s="351">
        <v>0</v>
      </c>
      <c r="Z541" s="351">
        <v>0</v>
      </c>
      <c r="AA541" s="351">
        <v>0</v>
      </c>
      <c r="AB541" s="351">
        <v>0</v>
      </c>
      <c r="AC541" s="351">
        <v>0</v>
      </c>
      <c r="AD541" s="351">
        <v>0</v>
      </c>
      <c r="AE541" s="351">
        <v>0</v>
      </c>
      <c r="AF541" s="351">
        <v>0</v>
      </c>
      <c r="AG541" s="351">
        <v>0</v>
      </c>
      <c r="AH541" s="351">
        <v>0</v>
      </c>
      <c r="AI541" s="351">
        <v>0</v>
      </c>
      <c r="AJ541" s="351">
        <f t="shared" si="242"/>
        <v>22217.58</v>
      </c>
      <c r="AK541" s="351">
        <f t="shared" si="243"/>
        <v>11108.79</v>
      </c>
      <c r="AL541" s="351">
        <v>0</v>
      </c>
      <c r="AM541" s="352"/>
      <c r="AN541" s="352"/>
    </row>
    <row r="542" spans="1:40" s="19" customFormat="1" ht="9" hidden="1" customHeight="1">
      <c r="A542" s="349">
        <v>170</v>
      </c>
      <c r="B542" s="346" t="s">
        <v>831</v>
      </c>
      <c r="C542" s="348">
        <v>2138.4</v>
      </c>
      <c r="D542" s="343"/>
      <c r="E542" s="348"/>
      <c r="F542" s="348"/>
      <c r="G542" s="348">
        <v>3485030.2</v>
      </c>
      <c r="H542" s="348">
        <f t="shared" si="240"/>
        <v>0</v>
      </c>
      <c r="I542" s="129">
        <v>0</v>
      </c>
      <c r="J542" s="129">
        <v>0</v>
      </c>
      <c r="K542" s="129">
        <v>0</v>
      </c>
      <c r="L542" s="129">
        <v>0</v>
      </c>
      <c r="M542" s="129">
        <v>0</v>
      </c>
      <c r="N542" s="348">
        <v>0</v>
      </c>
      <c r="O542" s="348">
        <v>0</v>
      </c>
      <c r="P542" s="348">
        <v>0</v>
      </c>
      <c r="Q542" s="348">
        <v>0</v>
      </c>
      <c r="R542" s="348">
        <v>0</v>
      </c>
      <c r="S542" s="348">
        <v>0</v>
      </c>
      <c r="T542" s="44">
        <v>0</v>
      </c>
      <c r="U542" s="348">
        <v>0</v>
      </c>
      <c r="V542" s="438" t="s">
        <v>997</v>
      </c>
      <c r="W542" s="351">
        <v>1045.3</v>
      </c>
      <c r="X542" s="348">
        <f t="shared" si="241"/>
        <v>3328203.84</v>
      </c>
      <c r="Y542" s="351">
        <v>0</v>
      </c>
      <c r="Z542" s="351">
        <v>0</v>
      </c>
      <c r="AA542" s="351">
        <v>0</v>
      </c>
      <c r="AB542" s="351">
        <v>0</v>
      </c>
      <c r="AC542" s="351">
        <v>0</v>
      </c>
      <c r="AD542" s="351">
        <v>0</v>
      </c>
      <c r="AE542" s="351">
        <v>0</v>
      </c>
      <c r="AF542" s="351">
        <v>0</v>
      </c>
      <c r="AG542" s="351">
        <v>0</v>
      </c>
      <c r="AH542" s="351">
        <v>0</v>
      </c>
      <c r="AI542" s="351">
        <v>0</v>
      </c>
      <c r="AJ542" s="351">
        <f t="shared" si="242"/>
        <v>104550.91</v>
      </c>
      <c r="AK542" s="351">
        <f t="shared" si="243"/>
        <v>52275.45</v>
      </c>
      <c r="AL542" s="351">
        <v>0</v>
      </c>
      <c r="AM542" s="352"/>
      <c r="AN542" s="352"/>
    </row>
    <row r="543" spans="1:40" s="19" customFormat="1" ht="9" hidden="1" customHeight="1">
      <c r="A543" s="349">
        <v>171</v>
      </c>
      <c r="B543" s="346" t="s">
        <v>832</v>
      </c>
      <c r="C543" s="348">
        <v>400.2</v>
      </c>
      <c r="D543" s="343"/>
      <c r="E543" s="348"/>
      <c r="F543" s="348"/>
      <c r="G543" s="348">
        <v>733480</v>
      </c>
      <c r="H543" s="348">
        <f t="shared" si="240"/>
        <v>0</v>
      </c>
      <c r="I543" s="129">
        <v>0</v>
      </c>
      <c r="J543" s="129">
        <v>0</v>
      </c>
      <c r="K543" s="129">
        <v>0</v>
      </c>
      <c r="L543" s="129">
        <v>0</v>
      </c>
      <c r="M543" s="129">
        <v>0</v>
      </c>
      <c r="N543" s="348">
        <v>0</v>
      </c>
      <c r="O543" s="348">
        <v>0</v>
      </c>
      <c r="P543" s="348">
        <v>0</v>
      </c>
      <c r="Q543" s="348">
        <v>0</v>
      </c>
      <c r="R543" s="348">
        <v>0</v>
      </c>
      <c r="S543" s="348">
        <v>0</v>
      </c>
      <c r="T543" s="44">
        <v>0</v>
      </c>
      <c r="U543" s="348">
        <v>0</v>
      </c>
      <c r="V543" s="438" t="s">
        <v>997</v>
      </c>
      <c r="W543" s="351">
        <v>220</v>
      </c>
      <c r="X543" s="348">
        <f t="shared" si="241"/>
        <v>700473.4</v>
      </c>
      <c r="Y543" s="351">
        <v>0</v>
      </c>
      <c r="Z543" s="351">
        <v>0</v>
      </c>
      <c r="AA543" s="351">
        <v>0</v>
      </c>
      <c r="AB543" s="351">
        <v>0</v>
      </c>
      <c r="AC543" s="351">
        <v>0</v>
      </c>
      <c r="AD543" s="351">
        <v>0</v>
      </c>
      <c r="AE543" s="351">
        <v>0</v>
      </c>
      <c r="AF543" s="351">
        <v>0</v>
      </c>
      <c r="AG543" s="351">
        <v>0</v>
      </c>
      <c r="AH543" s="351">
        <v>0</v>
      </c>
      <c r="AI543" s="351">
        <v>0</v>
      </c>
      <c r="AJ543" s="351">
        <f t="shared" si="242"/>
        <v>22004.400000000001</v>
      </c>
      <c r="AK543" s="351">
        <f t="shared" si="243"/>
        <v>11002.2</v>
      </c>
      <c r="AL543" s="351">
        <v>0</v>
      </c>
      <c r="AM543" s="352"/>
      <c r="AN543" s="352"/>
    </row>
    <row r="544" spans="1:40" s="19" customFormat="1" ht="9" hidden="1" customHeight="1">
      <c r="A544" s="349">
        <v>172</v>
      </c>
      <c r="B544" s="346" t="s">
        <v>818</v>
      </c>
      <c r="C544" s="348">
        <v>375.9</v>
      </c>
      <c r="D544" s="343"/>
      <c r="E544" s="348"/>
      <c r="F544" s="348"/>
      <c r="G544" s="348">
        <v>988697.7</v>
      </c>
      <c r="H544" s="348">
        <f t="shared" si="240"/>
        <v>0</v>
      </c>
      <c r="I544" s="129">
        <v>0</v>
      </c>
      <c r="J544" s="129">
        <v>0</v>
      </c>
      <c r="K544" s="129">
        <v>0</v>
      </c>
      <c r="L544" s="129">
        <v>0</v>
      </c>
      <c r="M544" s="129">
        <v>0</v>
      </c>
      <c r="N544" s="348">
        <v>0</v>
      </c>
      <c r="O544" s="348">
        <v>0</v>
      </c>
      <c r="P544" s="348">
        <v>0</v>
      </c>
      <c r="Q544" s="348">
        <v>0</v>
      </c>
      <c r="R544" s="348">
        <v>0</v>
      </c>
      <c r="S544" s="348">
        <v>0</v>
      </c>
      <c r="T544" s="44">
        <v>0</v>
      </c>
      <c r="U544" s="348">
        <v>0</v>
      </c>
      <c r="V544" s="438" t="s">
        <v>997</v>
      </c>
      <c r="W544" s="351">
        <v>296.55</v>
      </c>
      <c r="X544" s="348">
        <f t="shared" si="241"/>
        <v>944206.3</v>
      </c>
      <c r="Y544" s="351">
        <v>0</v>
      </c>
      <c r="Z544" s="351">
        <v>0</v>
      </c>
      <c r="AA544" s="351">
        <v>0</v>
      </c>
      <c r="AB544" s="351">
        <v>0</v>
      </c>
      <c r="AC544" s="351">
        <v>0</v>
      </c>
      <c r="AD544" s="351">
        <v>0</v>
      </c>
      <c r="AE544" s="351">
        <v>0</v>
      </c>
      <c r="AF544" s="351">
        <v>0</v>
      </c>
      <c r="AG544" s="351">
        <v>0</v>
      </c>
      <c r="AH544" s="351">
        <v>0</v>
      </c>
      <c r="AI544" s="351">
        <v>0</v>
      </c>
      <c r="AJ544" s="351">
        <f t="shared" si="242"/>
        <v>29660.93</v>
      </c>
      <c r="AK544" s="351">
        <f t="shared" si="243"/>
        <v>14830.47</v>
      </c>
      <c r="AL544" s="351">
        <v>0</v>
      </c>
      <c r="AM544" s="352"/>
      <c r="AN544" s="352"/>
    </row>
    <row r="545" spans="1:40" s="19" customFormat="1" ht="9" hidden="1" customHeight="1">
      <c r="A545" s="349">
        <v>173</v>
      </c>
      <c r="B545" s="346" t="s">
        <v>833</v>
      </c>
      <c r="C545" s="348">
        <v>732.9</v>
      </c>
      <c r="D545" s="343"/>
      <c r="E545" s="348"/>
      <c r="F545" s="348"/>
      <c r="G545" s="348">
        <v>1646996</v>
      </c>
      <c r="H545" s="348">
        <f t="shared" si="240"/>
        <v>0</v>
      </c>
      <c r="I545" s="129">
        <v>0</v>
      </c>
      <c r="J545" s="129">
        <v>0</v>
      </c>
      <c r="K545" s="129">
        <v>0</v>
      </c>
      <c r="L545" s="129">
        <v>0</v>
      </c>
      <c r="M545" s="129">
        <v>0</v>
      </c>
      <c r="N545" s="348">
        <v>0</v>
      </c>
      <c r="O545" s="348">
        <v>0</v>
      </c>
      <c r="P545" s="348">
        <v>0</v>
      </c>
      <c r="Q545" s="348">
        <v>0</v>
      </c>
      <c r="R545" s="348">
        <v>0</v>
      </c>
      <c r="S545" s="348">
        <v>0</v>
      </c>
      <c r="T545" s="44">
        <v>0</v>
      </c>
      <c r="U545" s="348">
        <v>0</v>
      </c>
      <c r="V545" s="438" t="s">
        <v>997</v>
      </c>
      <c r="W545" s="351">
        <v>494</v>
      </c>
      <c r="X545" s="348">
        <f t="shared" si="241"/>
        <v>1572881.18</v>
      </c>
      <c r="Y545" s="351">
        <v>0</v>
      </c>
      <c r="Z545" s="351">
        <v>0</v>
      </c>
      <c r="AA545" s="351">
        <v>0</v>
      </c>
      <c r="AB545" s="351">
        <v>0</v>
      </c>
      <c r="AC545" s="351">
        <v>0</v>
      </c>
      <c r="AD545" s="351">
        <v>0</v>
      </c>
      <c r="AE545" s="351">
        <v>0</v>
      </c>
      <c r="AF545" s="351">
        <v>0</v>
      </c>
      <c r="AG545" s="351">
        <v>0</v>
      </c>
      <c r="AH545" s="351">
        <v>0</v>
      </c>
      <c r="AI545" s="351">
        <v>0</v>
      </c>
      <c r="AJ545" s="351">
        <f t="shared" si="242"/>
        <v>49409.88</v>
      </c>
      <c r="AK545" s="351">
        <f t="shared" si="243"/>
        <v>24704.94</v>
      </c>
      <c r="AL545" s="351">
        <v>0</v>
      </c>
      <c r="AM545" s="352"/>
      <c r="AN545" s="352"/>
    </row>
    <row r="546" spans="1:40" s="19" customFormat="1" ht="9" hidden="1" customHeight="1">
      <c r="A546" s="349">
        <v>174</v>
      </c>
      <c r="B546" s="346" t="s">
        <v>834</v>
      </c>
      <c r="C546" s="348">
        <v>476.9</v>
      </c>
      <c r="D546" s="343">
        <v>61.1</v>
      </c>
      <c r="E546" s="348"/>
      <c r="F546" s="348"/>
      <c r="G546" s="348">
        <v>1252320.33</v>
      </c>
      <c r="H546" s="348">
        <f t="shared" si="240"/>
        <v>1048899.95</v>
      </c>
      <c r="I546" s="117">
        <f>ROUND(0.955*(C546*370),2)</f>
        <v>168512.62</v>
      </c>
      <c r="J546" s="129">
        <v>280</v>
      </c>
      <c r="K546" s="129">
        <f>ROUND(0.955*(C546*1200),2)</f>
        <v>546527.4</v>
      </c>
      <c r="L546" s="129">
        <v>0</v>
      </c>
      <c r="M546" s="129">
        <f>ROUND(0.955*(C546*303.05),2)</f>
        <v>138020.94</v>
      </c>
      <c r="N546" s="348">
        <v>110</v>
      </c>
      <c r="O546" s="348">
        <f>ROUND(0.955*(C546*210),2)</f>
        <v>95642.3</v>
      </c>
      <c r="P546" s="348">
        <v>0</v>
      </c>
      <c r="Q546" s="348">
        <v>0</v>
      </c>
      <c r="R546" s="348">
        <v>120</v>
      </c>
      <c r="S546" s="348">
        <f>ROUND(0.955*(C546*220),2)</f>
        <v>100196.69</v>
      </c>
      <c r="T546" s="44">
        <v>0</v>
      </c>
      <c r="U546" s="348">
        <v>0</v>
      </c>
      <c r="V546" s="348" t="s">
        <v>1016</v>
      </c>
      <c r="W546" s="351">
        <v>0</v>
      </c>
      <c r="X546" s="348">
        <v>0</v>
      </c>
      <c r="Y546" s="351">
        <v>0</v>
      </c>
      <c r="Z546" s="351">
        <v>0</v>
      </c>
      <c r="AA546" s="351">
        <v>0</v>
      </c>
      <c r="AB546" s="351">
        <v>0</v>
      </c>
      <c r="AC546" s="351">
        <v>0</v>
      </c>
      <c r="AD546" s="351">
        <v>0</v>
      </c>
      <c r="AE546" s="351">
        <v>0</v>
      </c>
      <c r="AF546" s="351">
        <v>0</v>
      </c>
      <c r="AG546" s="351">
        <v>0</v>
      </c>
      <c r="AH546" s="351">
        <v>0</v>
      </c>
      <c r="AI546" s="348">
        <f>ROUND(0.955*C546*322.91,2)</f>
        <v>147065.97</v>
      </c>
      <c r="AJ546" s="351">
        <f>ROUND(0.03*(220+1200+370+210+303.05+322.91)*C546,2)</f>
        <v>37569.61</v>
      </c>
      <c r="AK546" s="351">
        <f>ROUND(0.015*(220+1200+370+210+303.05+322.91)*C546,2)</f>
        <v>18784.8</v>
      </c>
      <c r="AL546" s="351">
        <v>0</v>
      </c>
      <c r="AM546" s="352"/>
      <c r="AN546" s="352"/>
    </row>
    <row r="547" spans="1:40" s="19" customFormat="1" ht="23.25" hidden="1" customHeight="1">
      <c r="A547" s="599" t="s">
        <v>268</v>
      </c>
      <c r="B547" s="599"/>
      <c r="C547" s="348">
        <f>SUM(C534:C546)</f>
        <v>13284.199999999999</v>
      </c>
      <c r="D547" s="248"/>
      <c r="E547" s="225"/>
      <c r="F547" s="225"/>
      <c r="G547" s="348">
        <f>ROUND(SUM(G534:G546),2)</f>
        <v>25726012.629999999</v>
      </c>
      <c r="H547" s="348">
        <f t="shared" ref="H547:AL547" si="244">SUM(H534:H546)</f>
        <v>1048899.95</v>
      </c>
      <c r="I547" s="348">
        <f t="shared" si="244"/>
        <v>168512.62</v>
      </c>
      <c r="J547" s="348">
        <f t="shared" si="244"/>
        <v>280</v>
      </c>
      <c r="K547" s="348">
        <f t="shared" si="244"/>
        <v>546527.4</v>
      </c>
      <c r="L547" s="348">
        <f t="shared" si="244"/>
        <v>0</v>
      </c>
      <c r="M547" s="348">
        <f t="shared" si="244"/>
        <v>138020.94</v>
      </c>
      <c r="N547" s="348">
        <f t="shared" si="244"/>
        <v>110</v>
      </c>
      <c r="O547" s="348">
        <f t="shared" si="244"/>
        <v>95642.3</v>
      </c>
      <c r="P547" s="348">
        <f t="shared" si="244"/>
        <v>0</v>
      </c>
      <c r="Q547" s="348">
        <f t="shared" si="244"/>
        <v>0</v>
      </c>
      <c r="R547" s="348">
        <f t="shared" si="244"/>
        <v>120</v>
      </c>
      <c r="S547" s="348">
        <f t="shared" si="244"/>
        <v>100196.69</v>
      </c>
      <c r="T547" s="44">
        <f t="shared" si="244"/>
        <v>0</v>
      </c>
      <c r="U547" s="348">
        <f t="shared" si="244"/>
        <v>0</v>
      </c>
      <c r="V547" s="225" t="s">
        <v>387</v>
      </c>
      <c r="W547" s="348">
        <f t="shared" si="244"/>
        <v>7438.4500000000007</v>
      </c>
      <c r="X547" s="348">
        <f t="shared" si="244"/>
        <v>23372376.139999997</v>
      </c>
      <c r="Y547" s="348">
        <f t="shared" si="244"/>
        <v>0</v>
      </c>
      <c r="Z547" s="348">
        <f t="shared" si="244"/>
        <v>0</v>
      </c>
      <c r="AA547" s="348">
        <f t="shared" si="244"/>
        <v>0</v>
      </c>
      <c r="AB547" s="348">
        <f t="shared" si="244"/>
        <v>0</v>
      </c>
      <c r="AC547" s="348">
        <f t="shared" si="244"/>
        <v>0</v>
      </c>
      <c r="AD547" s="348">
        <f t="shared" si="244"/>
        <v>0</v>
      </c>
      <c r="AE547" s="348">
        <f t="shared" si="244"/>
        <v>0</v>
      </c>
      <c r="AF547" s="348">
        <f t="shared" si="244"/>
        <v>0</v>
      </c>
      <c r="AG547" s="348">
        <f t="shared" si="244"/>
        <v>0</v>
      </c>
      <c r="AH547" s="348">
        <f t="shared" si="244"/>
        <v>0</v>
      </c>
      <c r="AI547" s="348">
        <f t="shared" si="244"/>
        <v>147065.97</v>
      </c>
      <c r="AJ547" s="348">
        <f t="shared" si="244"/>
        <v>771780.38000000012</v>
      </c>
      <c r="AK547" s="348">
        <f t="shared" si="244"/>
        <v>385890.19</v>
      </c>
      <c r="AL547" s="348">
        <f t="shared" si="244"/>
        <v>0</v>
      </c>
      <c r="AM547" s="352"/>
      <c r="AN547" s="352"/>
    </row>
    <row r="548" spans="1:40" s="19" customFormat="1" ht="15" hidden="1" customHeight="1">
      <c r="A548" s="514" t="s">
        <v>441</v>
      </c>
      <c r="B548" s="515"/>
      <c r="C548" s="515"/>
      <c r="D548" s="515"/>
      <c r="E548" s="515"/>
      <c r="F548" s="515"/>
      <c r="G548" s="515"/>
      <c r="H548" s="515"/>
      <c r="I548" s="515"/>
      <c r="J548" s="515"/>
      <c r="K548" s="515"/>
      <c r="L548" s="515"/>
      <c r="M548" s="515"/>
      <c r="N548" s="515"/>
      <c r="O548" s="515"/>
      <c r="P548" s="515"/>
      <c r="Q548" s="515"/>
      <c r="R548" s="515"/>
      <c r="S548" s="515"/>
      <c r="T548" s="515"/>
      <c r="U548" s="515"/>
      <c r="V548" s="515"/>
      <c r="W548" s="515"/>
      <c r="X548" s="515"/>
      <c r="Y548" s="515"/>
      <c r="Z548" s="515"/>
      <c r="AA548" s="515"/>
      <c r="AB548" s="515"/>
      <c r="AC548" s="515"/>
      <c r="AD548" s="515"/>
      <c r="AE548" s="515"/>
      <c r="AF548" s="515"/>
      <c r="AG548" s="515"/>
      <c r="AH548" s="515"/>
      <c r="AI548" s="515"/>
      <c r="AJ548" s="515"/>
      <c r="AK548" s="515"/>
      <c r="AL548" s="516"/>
      <c r="AM548" s="352"/>
      <c r="AN548" s="352"/>
    </row>
    <row r="549" spans="1:40" s="19" customFormat="1" ht="9" hidden="1" customHeight="1">
      <c r="A549" s="78">
        <v>175</v>
      </c>
      <c r="B549" s="346" t="s">
        <v>841</v>
      </c>
      <c r="C549" s="348">
        <v>1332.3</v>
      </c>
      <c r="D549" s="343"/>
      <c r="E549" s="348"/>
      <c r="F549" s="348"/>
      <c r="G549" s="348">
        <v>2037420</v>
      </c>
      <c r="H549" s="348">
        <f t="shared" ref="H549" si="245">I549+K549+M549+O549+Q549+S549</f>
        <v>0</v>
      </c>
      <c r="I549" s="129">
        <v>0</v>
      </c>
      <c r="J549" s="129">
        <v>0</v>
      </c>
      <c r="K549" s="129">
        <v>0</v>
      </c>
      <c r="L549" s="129">
        <v>0</v>
      </c>
      <c r="M549" s="129">
        <v>0</v>
      </c>
      <c r="N549" s="348">
        <v>0</v>
      </c>
      <c r="O549" s="348">
        <v>0</v>
      </c>
      <c r="P549" s="348">
        <v>0</v>
      </c>
      <c r="Q549" s="348">
        <v>0</v>
      </c>
      <c r="R549" s="348">
        <v>0</v>
      </c>
      <c r="S549" s="348">
        <v>0</v>
      </c>
      <c r="T549" s="44">
        <v>0</v>
      </c>
      <c r="U549" s="348">
        <v>0</v>
      </c>
      <c r="V549" s="348" t="s">
        <v>998</v>
      </c>
      <c r="W549" s="24">
        <v>630</v>
      </c>
      <c r="X549" s="348">
        <f t="shared" ref="X549" si="246">ROUND(G549/100*95.5,2)</f>
        <v>1945736.1</v>
      </c>
      <c r="Y549" s="351">
        <v>0</v>
      </c>
      <c r="Z549" s="351">
        <v>0</v>
      </c>
      <c r="AA549" s="351">
        <v>0</v>
      </c>
      <c r="AB549" s="351">
        <v>0</v>
      </c>
      <c r="AC549" s="351">
        <v>0</v>
      </c>
      <c r="AD549" s="351">
        <v>0</v>
      </c>
      <c r="AE549" s="351">
        <v>0</v>
      </c>
      <c r="AF549" s="351">
        <v>0</v>
      </c>
      <c r="AG549" s="351">
        <v>0</v>
      </c>
      <c r="AH549" s="351">
        <v>0</v>
      </c>
      <c r="AI549" s="351">
        <v>0</v>
      </c>
      <c r="AJ549" s="351">
        <f t="shared" ref="AJ549" si="247">ROUND(G549/100*3,2)</f>
        <v>61122.6</v>
      </c>
      <c r="AK549" s="351">
        <f t="shared" ref="AK549" si="248">ROUND(G549/100*1.5,2)</f>
        <v>30561.3</v>
      </c>
      <c r="AL549" s="351">
        <v>0</v>
      </c>
      <c r="AM549" s="352"/>
      <c r="AN549" s="352"/>
    </row>
    <row r="550" spans="1:40" s="19" customFormat="1" ht="34.5" hidden="1" customHeight="1">
      <c r="A550" s="606" t="s">
        <v>442</v>
      </c>
      <c r="B550" s="606"/>
      <c r="C550" s="79">
        <f>SUM(C549)</f>
        <v>1332.3</v>
      </c>
      <c r="D550" s="249"/>
      <c r="E550" s="79"/>
      <c r="F550" s="79"/>
      <c r="G550" s="79">
        <f>SUM(G549)</f>
        <v>2037420</v>
      </c>
      <c r="H550" s="79">
        <f t="shared" ref="H550:AL550" si="249">SUM(H549)</f>
        <v>0</v>
      </c>
      <c r="I550" s="79">
        <f t="shared" si="249"/>
        <v>0</v>
      </c>
      <c r="J550" s="79">
        <f t="shared" si="249"/>
        <v>0</v>
      </c>
      <c r="K550" s="79">
        <f t="shared" si="249"/>
        <v>0</v>
      </c>
      <c r="L550" s="79">
        <f t="shared" si="249"/>
        <v>0</v>
      </c>
      <c r="M550" s="79">
        <f t="shared" si="249"/>
        <v>0</v>
      </c>
      <c r="N550" s="79">
        <f t="shared" si="249"/>
        <v>0</v>
      </c>
      <c r="O550" s="79">
        <f t="shared" si="249"/>
        <v>0</v>
      </c>
      <c r="P550" s="79">
        <f t="shared" si="249"/>
        <v>0</v>
      </c>
      <c r="Q550" s="79">
        <f t="shared" si="249"/>
        <v>0</v>
      </c>
      <c r="R550" s="79">
        <f t="shared" si="249"/>
        <v>0</v>
      </c>
      <c r="S550" s="79">
        <f t="shared" si="249"/>
        <v>0</v>
      </c>
      <c r="T550" s="102">
        <f t="shared" si="249"/>
        <v>0</v>
      </c>
      <c r="U550" s="79">
        <f t="shared" si="249"/>
        <v>0</v>
      </c>
      <c r="V550" s="79" t="s">
        <v>387</v>
      </c>
      <c r="W550" s="79">
        <f t="shared" si="249"/>
        <v>630</v>
      </c>
      <c r="X550" s="79">
        <f t="shared" si="249"/>
        <v>1945736.1</v>
      </c>
      <c r="Y550" s="79">
        <f t="shared" si="249"/>
        <v>0</v>
      </c>
      <c r="Z550" s="79">
        <f t="shared" si="249"/>
        <v>0</v>
      </c>
      <c r="AA550" s="79">
        <f t="shared" si="249"/>
        <v>0</v>
      </c>
      <c r="AB550" s="79">
        <f t="shared" si="249"/>
        <v>0</v>
      </c>
      <c r="AC550" s="79">
        <f t="shared" si="249"/>
        <v>0</v>
      </c>
      <c r="AD550" s="79">
        <f t="shared" si="249"/>
        <v>0</v>
      </c>
      <c r="AE550" s="79">
        <f t="shared" si="249"/>
        <v>0</v>
      </c>
      <c r="AF550" s="79">
        <f t="shared" si="249"/>
        <v>0</v>
      </c>
      <c r="AG550" s="79">
        <f t="shared" si="249"/>
        <v>0</v>
      </c>
      <c r="AH550" s="79">
        <f t="shared" si="249"/>
        <v>0</v>
      </c>
      <c r="AI550" s="79">
        <f t="shared" si="249"/>
        <v>0</v>
      </c>
      <c r="AJ550" s="79">
        <f t="shared" si="249"/>
        <v>61122.6</v>
      </c>
      <c r="AK550" s="79">
        <f t="shared" si="249"/>
        <v>30561.3</v>
      </c>
      <c r="AL550" s="79">
        <f t="shared" si="249"/>
        <v>0</v>
      </c>
      <c r="AM550" s="352"/>
      <c r="AN550" s="352"/>
    </row>
    <row r="551" spans="1:40" s="19" customFormat="1" ht="14.25" hidden="1" customHeight="1">
      <c r="A551" s="514" t="s">
        <v>393</v>
      </c>
      <c r="B551" s="515"/>
      <c r="C551" s="515"/>
      <c r="D551" s="515"/>
      <c r="E551" s="515"/>
      <c r="F551" s="515"/>
      <c r="G551" s="515"/>
      <c r="H551" s="515"/>
      <c r="I551" s="515"/>
      <c r="J551" s="515"/>
      <c r="K551" s="515"/>
      <c r="L551" s="515"/>
      <c r="M551" s="515"/>
      <c r="N551" s="515"/>
      <c r="O551" s="515"/>
      <c r="P551" s="515"/>
      <c r="Q551" s="515"/>
      <c r="R551" s="515"/>
      <c r="S551" s="515"/>
      <c r="T551" s="515"/>
      <c r="U551" s="515"/>
      <c r="V551" s="515"/>
      <c r="W551" s="515"/>
      <c r="X551" s="515"/>
      <c r="Y551" s="515"/>
      <c r="Z551" s="515"/>
      <c r="AA551" s="515"/>
      <c r="AB551" s="515"/>
      <c r="AC551" s="515"/>
      <c r="AD551" s="515"/>
      <c r="AE551" s="515"/>
      <c r="AF551" s="515"/>
      <c r="AG551" s="515"/>
      <c r="AH551" s="515"/>
      <c r="AI551" s="515"/>
      <c r="AJ551" s="515"/>
      <c r="AK551" s="515"/>
      <c r="AL551" s="516"/>
      <c r="AM551" s="352"/>
      <c r="AN551" s="352"/>
    </row>
    <row r="552" spans="1:40" s="19" customFormat="1" ht="9" hidden="1" customHeight="1">
      <c r="A552" s="78">
        <v>176</v>
      </c>
      <c r="B552" s="346" t="s">
        <v>842</v>
      </c>
      <c r="C552" s="348">
        <v>887.8</v>
      </c>
      <c r="D552" s="343"/>
      <c r="E552" s="348"/>
      <c r="F552" s="348"/>
      <c r="G552" s="351">
        <v>1400280</v>
      </c>
      <c r="H552" s="348">
        <f t="shared" ref="H552:H553" si="250">I552+K552+M552+O552+Q552+S552</f>
        <v>0</v>
      </c>
      <c r="I552" s="129">
        <v>0</v>
      </c>
      <c r="J552" s="129">
        <v>0</v>
      </c>
      <c r="K552" s="129">
        <v>0</v>
      </c>
      <c r="L552" s="129">
        <v>0</v>
      </c>
      <c r="M552" s="129">
        <v>0</v>
      </c>
      <c r="N552" s="348">
        <v>0</v>
      </c>
      <c r="O552" s="348">
        <v>0</v>
      </c>
      <c r="P552" s="348">
        <v>0</v>
      </c>
      <c r="Q552" s="348">
        <v>0</v>
      </c>
      <c r="R552" s="348">
        <v>0</v>
      </c>
      <c r="S552" s="348">
        <v>0</v>
      </c>
      <c r="T552" s="44">
        <v>0</v>
      </c>
      <c r="U552" s="348">
        <v>0</v>
      </c>
      <c r="V552" s="348" t="s">
        <v>997</v>
      </c>
      <c r="W552" s="15">
        <v>420</v>
      </c>
      <c r="X552" s="348">
        <f t="shared" ref="X552:X553" si="251">ROUND(G552/100*95.5,2)</f>
        <v>1337267.3999999999</v>
      </c>
      <c r="Y552" s="351">
        <v>0</v>
      </c>
      <c r="Z552" s="351">
        <v>0</v>
      </c>
      <c r="AA552" s="351">
        <v>0</v>
      </c>
      <c r="AB552" s="351">
        <v>0</v>
      </c>
      <c r="AC552" s="351">
        <v>0</v>
      </c>
      <c r="AD552" s="351">
        <v>0</v>
      </c>
      <c r="AE552" s="351">
        <v>0</v>
      </c>
      <c r="AF552" s="351">
        <v>0</v>
      </c>
      <c r="AG552" s="351">
        <v>0</v>
      </c>
      <c r="AH552" s="351">
        <v>0</v>
      </c>
      <c r="AI552" s="351">
        <v>0</v>
      </c>
      <c r="AJ552" s="351">
        <f t="shared" ref="AJ552:AJ553" si="252">ROUND(G552/100*3,2)</f>
        <v>42008.4</v>
      </c>
      <c r="AK552" s="351">
        <f t="shared" ref="AK552:AK553" si="253">ROUND(G552/100*1.5,2)</f>
        <v>21004.2</v>
      </c>
      <c r="AL552" s="351">
        <v>0</v>
      </c>
      <c r="AM552" s="352"/>
      <c r="AN552" s="352"/>
    </row>
    <row r="553" spans="1:40" s="19" customFormat="1" ht="9" hidden="1" customHeight="1">
      <c r="A553" s="78">
        <v>177</v>
      </c>
      <c r="B553" s="346" t="s">
        <v>843</v>
      </c>
      <c r="C553" s="348">
        <v>581.79999999999995</v>
      </c>
      <c r="D553" s="343"/>
      <c r="E553" s="348"/>
      <c r="F553" s="348"/>
      <c r="G553" s="351">
        <v>1400280</v>
      </c>
      <c r="H553" s="348">
        <f t="shared" si="250"/>
        <v>0</v>
      </c>
      <c r="I553" s="129">
        <v>0</v>
      </c>
      <c r="J553" s="129">
        <v>0</v>
      </c>
      <c r="K553" s="129">
        <v>0</v>
      </c>
      <c r="L553" s="129">
        <v>0</v>
      </c>
      <c r="M553" s="129">
        <v>0</v>
      </c>
      <c r="N553" s="348">
        <v>0</v>
      </c>
      <c r="O553" s="348">
        <v>0</v>
      </c>
      <c r="P553" s="348">
        <v>0</v>
      </c>
      <c r="Q553" s="348">
        <v>0</v>
      </c>
      <c r="R553" s="348">
        <v>0</v>
      </c>
      <c r="S553" s="348">
        <v>0</v>
      </c>
      <c r="T553" s="44">
        <v>0</v>
      </c>
      <c r="U553" s="348">
        <v>0</v>
      </c>
      <c r="V553" s="348" t="s">
        <v>997</v>
      </c>
      <c r="W553" s="15">
        <v>420</v>
      </c>
      <c r="X553" s="348">
        <f t="shared" si="251"/>
        <v>1337267.3999999999</v>
      </c>
      <c r="Y553" s="351">
        <v>0</v>
      </c>
      <c r="Z553" s="351">
        <v>0</v>
      </c>
      <c r="AA553" s="351">
        <v>0</v>
      </c>
      <c r="AB553" s="351">
        <v>0</v>
      </c>
      <c r="AC553" s="351">
        <v>0</v>
      </c>
      <c r="AD553" s="351">
        <v>0</v>
      </c>
      <c r="AE553" s="351">
        <v>0</v>
      </c>
      <c r="AF553" s="351">
        <v>0</v>
      </c>
      <c r="AG553" s="351">
        <v>0</v>
      </c>
      <c r="AH553" s="351">
        <v>0</v>
      </c>
      <c r="AI553" s="351">
        <v>0</v>
      </c>
      <c r="AJ553" s="351">
        <f t="shared" si="252"/>
        <v>42008.4</v>
      </c>
      <c r="AK553" s="351">
        <f t="shared" si="253"/>
        <v>21004.2</v>
      </c>
      <c r="AL553" s="351">
        <v>0</v>
      </c>
      <c r="AM553" s="352"/>
      <c r="AN553" s="352"/>
    </row>
    <row r="554" spans="1:40" s="19" customFormat="1" ht="24.75" hidden="1" customHeight="1">
      <c r="A554" s="606" t="s">
        <v>394</v>
      </c>
      <c r="B554" s="606"/>
      <c r="C554" s="79">
        <f>SUM(C552:C553)</f>
        <v>1469.6</v>
      </c>
      <c r="D554" s="79"/>
      <c r="E554" s="79"/>
      <c r="F554" s="79"/>
      <c r="G554" s="79">
        <f>SUM(G552:G553)</f>
        <v>2800560</v>
      </c>
      <c r="H554" s="79">
        <f t="shared" ref="H554:AL554" si="254">SUM(H552:H553)</f>
        <v>0</v>
      </c>
      <c r="I554" s="79">
        <f t="shared" si="254"/>
        <v>0</v>
      </c>
      <c r="J554" s="79">
        <f t="shared" si="254"/>
        <v>0</v>
      </c>
      <c r="K554" s="79">
        <f t="shared" si="254"/>
        <v>0</v>
      </c>
      <c r="L554" s="79">
        <f t="shared" si="254"/>
        <v>0</v>
      </c>
      <c r="M554" s="79">
        <f t="shared" si="254"/>
        <v>0</v>
      </c>
      <c r="N554" s="79">
        <f t="shared" si="254"/>
        <v>0</v>
      </c>
      <c r="O554" s="79">
        <f t="shared" si="254"/>
        <v>0</v>
      </c>
      <c r="P554" s="79">
        <f t="shared" si="254"/>
        <v>0</v>
      </c>
      <c r="Q554" s="79">
        <f t="shared" si="254"/>
        <v>0</v>
      </c>
      <c r="R554" s="79">
        <f t="shared" si="254"/>
        <v>0</v>
      </c>
      <c r="S554" s="79">
        <f t="shared" si="254"/>
        <v>0</v>
      </c>
      <c r="T554" s="102">
        <f t="shared" si="254"/>
        <v>0</v>
      </c>
      <c r="U554" s="79">
        <f t="shared" si="254"/>
        <v>0</v>
      </c>
      <c r="V554" s="79" t="s">
        <v>387</v>
      </c>
      <c r="W554" s="79">
        <f t="shared" si="254"/>
        <v>840</v>
      </c>
      <c r="X554" s="79">
        <f t="shared" si="254"/>
        <v>2674534.7999999998</v>
      </c>
      <c r="Y554" s="79">
        <f t="shared" si="254"/>
        <v>0</v>
      </c>
      <c r="Z554" s="79">
        <f t="shared" si="254"/>
        <v>0</v>
      </c>
      <c r="AA554" s="79">
        <f t="shared" si="254"/>
        <v>0</v>
      </c>
      <c r="AB554" s="79">
        <f t="shared" si="254"/>
        <v>0</v>
      </c>
      <c r="AC554" s="79">
        <f t="shared" si="254"/>
        <v>0</v>
      </c>
      <c r="AD554" s="79">
        <f t="shared" si="254"/>
        <v>0</v>
      </c>
      <c r="AE554" s="79">
        <f t="shared" si="254"/>
        <v>0</v>
      </c>
      <c r="AF554" s="79">
        <f t="shared" si="254"/>
        <v>0</v>
      </c>
      <c r="AG554" s="79">
        <f t="shared" si="254"/>
        <v>0</v>
      </c>
      <c r="AH554" s="79">
        <f t="shared" si="254"/>
        <v>0</v>
      </c>
      <c r="AI554" s="79">
        <f t="shared" si="254"/>
        <v>0</v>
      </c>
      <c r="AJ554" s="79">
        <f t="shared" si="254"/>
        <v>84016.8</v>
      </c>
      <c r="AK554" s="79">
        <f t="shared" si="254"/>
        <v>42008.4</v>
      </c>
      <c r="AL554" s="79">
        <f t="shared" si="254"/>
        <v>0</v>
      </c>
      <c r="AM554" s="352"/>
      <c r="AN554" s="352"/>
    </row>
    <row r="555" spans="1:40" s="19" customFormat="1" ht="13.5" hidden="1" customHeight="1">
      <c r="A555" s="519" t="s">
        <v>438</v>
      </c>
      <c r="B555" s="520"/>
      <c r="C555" s="520"/>
      <c r="D555" s="520"/>
      <c r="E555" s="520"/>
      <c r="F555" s="520"/>
      <c r="G555" s="520"/>
      <c r="H555" s="520"/>
      <c r="I555" s="520"/>
      <c r="J555" s="520"/>
      <c r="K555" s="520"/>
      <c r="L555" s="520"/>
      <c r="M555" s="520"/>
      <c r="N555" s="520"/>
      <c r="O555" s="520"/>
      <c r="P555" s="520"/>
      <c r="Q555" s="520"/>
      <c r="R555" s="520"/>
      <c r="S555" s="520"/>
      <c r="T555" s="520"/>
      <c r="U555" s="520"/>
      <c r="V555" s="520"/>
      <c r="W555" s="520"/>
      <c r="X555" s="520"/>
      <c r="Y555" s="520"/>
      <c r="Z555" s="520"/>
      <c r="AA555" s="520"/>
      <c r="AB555" s="520"/>
      <c r="AC555" s="520"/>
      <c r="AD555" s="520"/>
      <c r="AE555" s="520"/>
      <c r="AF555" s="520"/>
      <c r="AG555" s="520"/>
      <c r="AH555" s="520"/>
      <c r="AI555" s="520"/>
      <c r="AJ555" s="520"/>
      <c r="AK555" s="521"/>
      <c r="AL555" s="352"/>
      <c r="AM555" s="352"/>
      <c r="AN555" s="352"/>
    </row>
    <row r="556" spans="1:40" s="19" customFormat="1" ht="9" hidden="1" customHeight="1">
      <c r="A556" s="349">
        <v>178</v>
      </c>
      <c r="B556" s="346" t="s">
        <v>844</v>
      </c>
      <c r="C556" s="348">
        <v>1538.2</v>
      </c>
      <c r="D556" s="343"/>
      <c r="E556" s="348"/>
      <c r="F556" s="348"/>
      <c r="G556" s="351">
        <v>1157975.58</v>
      </c>
      <c r="H556" s="348">
        <f t="shared" ref="H556:H557" si="255">I556+K556+M556+O556+Q556+S556</f>
        <v>631579.69999999995</v>
      </c>
      <c r="I556" s="129">
        <v>0</v>
      </c>
      <c r="J556" s="129">
        <v>0</v>
      </c>
      <c r="K556" s="129">
        <v>0</v>
      </c>
      <c r="L556" s="129">
        <v>0</v>
      </c>
      <c r="M556" s="129">
        <v>0</v>
      </c>
      <c r="N556" s="348">
        <v>115</v>
      </c>
      <c r="O556" s="348">
        <f>ROUND(0.955*(1538*210),2)</f>
        <v>308445.90000000002</v>
      </c>
      <c r="P556" s="348">
        <v>0</v>
      </c>
      <c r="Q556" s="348">
        <v>0</v>
      </c>
      <c r="R556" s="348">
        <v>0</v>
      </c>
      <c r="S556" s="348">
        <f>ROUND(0.955*(1538*220),2)</f>
        <v>323133.8</v>
      </c>
      <c r="T556" s="44">
        <v>0</v>
      </c>
      <c r="U556" s="348">
        <v>0</v>
      </c>
      <c r="V556" s="348"/>
      <c r="W556" s="351">
        <v>0</v>
      </c>
      <c r="X556" s="348">
        <v>0</v>
      </c>
      <c r="Y556" s="351">
        <v>0</v>
      </c>
      <c r="Z556" s="351">
        <v>0</v>
      </c>
      <c r="AA556" s="351">
        <v>0</v>
      </c>
      <c r="AB556" s="351">
        <v>0</v>
      </c>
      <c r="AC556" s="351">
        <v>0</v>
      </c>
      <c r="AD556" s="351">
        <v>0</v>
      </c>
      <c r="AE556" s="351">
        <v>0</v>
      </c>
      <c r="AF556" s="351">
        <v>0</v>
      </c>
      <c r="AG556" s="351">
        <v>0</v>
      </c>
      <c r="AH556" s="351">
        <v>0</v>
      </c>
      <c r="AI556" s="348">
        <f>ROUND(0.955*1538*322.91,2)</f>
        <v>474286.98</v>
      </c>
      <c r="AJ556" s="351">
        <f>ROUND(0.03*(220+210+322.91)*1538,2)</f>
        <v>34739.269999999997</v>
      </c>
      <c r="AK556" s="351">
        <f>ROUND(0.015*(220+210+322.91)*1538,2)</f>
        <v>17369.63</v>
      </c>
      <c r="AL556" s="351">
        <v>0</v>
      </c>
      <c r="AM556" s="352"/>
      <c r="AN556" s="352"/>
    </row>
    <row r="557" spans="1:40" s="19" customFormat="1" ht="9" hidden="1" customHeight="1">
      <c r="A557" s="349">
        <v>179</v>
      </c>
      <c r="B557" s="346" t="s">
        <v>845</v>
      </c>
      <c r="C557" s="348">
        <v>1223.42</v>
      </c>
      <c r="D557" s="343"/>
      <c r="E557" s="348"/>
      <c r="F557" s="348"/>
      <c r="G557" s="351">
        <v>269152.40000000002</v>
      </c>
      <c r="H557" s="348">
        <f t="shared" si="255"/>
        <v>257040.54</v>
      </c>
      <c r="I557" s="129">
        <v>0</v>
      </c>
      <c r="J557" s="129">
        <v>0</v>
      </c>
      <c r="K557" s="129">
        <v>0</v>
      </c>
      <c r="L557" s="129">
        <v>0</v>
      </c>
      <c r="M557" s="129">
        <v>0</v>
      </c>
      <c r="N557" s="348">
        <v>0</v>
      </c>
      <c r="O557" s="348">
        <v>0</v>
      </c>
      <c r="P557" s="348">
        <v>0</v>
      </c>
      <c r="Q557" s="348">
        <v>0</v>
      </c>
      <c r="R557" s="348">
        <v>0</v>
      </c>
      <c r="S557" s="348">
        <f>ROUND(0.955*(C557*220),2)</f>
        <v>257040.54</v>
      </c>
      <c r="T557" s="44">
        <v>0</v>
      </c>
      <c r="U557" s="348">
        <v>0</v>
      </c>
      <c r="V557" s="348"/>
      <c r="W557" s="351">
        <v>0</v>
      </c>
      <c r="X557" s="348">
        <v>0</v>
      </c>
      <c r="Y557" s="351">
        <v>0</v>
      </c>
      <c r="Z557" s="351">
        <v>0</v>
      </c>
      <c r="AA557" s="351">
        <v>0</v>
      </c>
      <c r="AB557" s="351">
        <v>0</v>
      </c>
      <c r="AC557" s="351">
        <v>0</v>
      </c>
      <c r="AD557" s="351">
        <v>0</v>
      </c>
      <c r="AE557" s="351">
        <v>0</v>
      </c>
      <c r="AF557" s="351">
        <v>0</v>
      </c>
      <c r="AG557" s="351">
        <v>0</v>
      </c>
      <c r="AH557" s="351">
        <v>0</v>
      </c>
      <c r="AI557" s="351">
        <v>0</v>
      </c>
      <c r="AJ557" s="351">
        <f>ROUND(0.03*220*C557,2)</f>
        <v>8074.57</v>
      </c>
      <c r="AK557" s="351">
        <f>ROUND(0.015*220*C557,2)</f>
        <v>4037.29</v>
      </c>
      <c r="AL557" s="351">
        <v>0</v>
      </c>
      <c r="AM557" s="352"/>
      <c r="AN557" s="352"/>
    </row>
    <row r="558" spans="1:40" s="19" customFormat="1" ht="24.75" hidden="1" customHeight="1">
      <c r="A558" s="599" t="s">
        <v>439</v>
      </c>
      <c r="B558" s="599"/>
      <c r="C558" s="348">
        <f>SUM(C556:C557)</f>
        <v>2761.62</v>
      </c>
      <c r="D558" s="248"/>
      <c r="E558" s="348"/>
      <c r="F558" s="348"/>
      <c r="G558" s="348">
        <f>SUM(G556:G557)</f>
        <v>1427127.98</v>
      </c>
      <c r="H558" s="348">
        <f t="shared" ref="H558:AL558" si="256">SUM(H556:H557)</f>
        <v>888620.24</v>
      </c>
      <c r="I558" s="348">
        <f t="shared" si="256"/>
        <v>0</v>
      </c>
      <c r="J558" s="348">
        <f t="shared" si="256"/>
        <v>0</v>
      </c>
      <c r="K558" s="348">
        <f t="shared" si="256"/>
        <v>0</v>
      </c>
      <c r="L558" s="348">
        <f t="shared" si="256"/>
        <v>0</v>
      </c>
      <c r="M558" s="348">
        <f t="shared" si="256"/>
        <v>0</v>
      </c>
      <c r="N558" s="348">
        <f t="shared" si="256"/>
        <v>115</v>
      </c>
      <c r="O558" s="348">
        <f t="shared" si="256"/>
        <v>308445.90000000002</v>
      </c>
      <c r="P558" s="348">
        <f t="shared" si="256"/>
        <v>0</v>
      </c>
      <c r="Q558" s="348">
        <f t="shared" si="256"/>
        <v>0</v>
      </c>
      <c r="R558" s="348">
        <f t="shared" si="256"/>
        <v>0</v>
      </c>
      <c r="S558" s="348">
        <f t="shared" si="256"/>
        <v>580174.34</v>
      </c>
      <c r="T558" s="44">
        <f t="shared" si="256"/>
        <v>0</v>
      </c>
      <c r="U558" s="348">
        <f t="shared" si="256"/>
        <v>0</v>
      </c>
      <c r="V558" s="348" t="s">
        <v>387</v>
      </c>
      <c r="W558" s="348">
        <f t="shared" si="256"/>
        <v>0</v>
      </c>
      <c r="X558" s="348">
        <f t="shared" si="256"/>
        <v>0</v>
      </c>
      <c r="Y558" s="348">
        <f t="shared" si="256"/>
        <v>0</v>
      </c>
      <c r="Z558" s="348">
        <f t="shared" si="256"/>
        <v>0</v>
      </c>
      <c r="AA558" s="348">
        <f t="shared" si="256"/>
        <v>0</v>
      </c>
      <c r="AB558" s="348">
        <f t="shared" si="256"/>
        <v>0</v>
      </c>
      <c r="AC558" s="348">
        <f t="shared" si="256"/>
        <v>0</v>
      </c>
      <c r="AD558" s="348">
        <f t="shared" si="256"/>
        <v>0</v>
      </c>
      <c r="AE558" s="348">
        <f t="shared" si="256"/>
        <v>0</v>
      </c>
      <c r="AF558" s="348">
        <f t="shared" si="256"/>
        <v>0</v>
      </c>
      <c r="AG558" s="348">
        <f t="shared" si="256"/>
        <v>0</v>
      </c>
      <c r="AH558" s="348">
        <f t="shared" si="256"/>
        <v>0</v>
      </c>
      <c r="AI558" s="348">
        <f t="shared" si="256"/>
        <v>474286.98</v>
      </c>
      <c r="AJ558" s="348">
        <f t="shared" si="256"/>
        <v>42813.84</v>
      </c>
      <c r="AK558" s="348">
        <f t="shared" si="256"/>
        <v>21406.920000000002</v>
      </c>
      <c r="AL558" s="348">
        <f t="shared" si="256"/>
        <v>0</v>
      </c>
      <c r="AM558" s="352"/>
      <c r="AN558" s="352"/>
    </row>
    <row r="559" spans="1:40" s="19" customFormat="1" ht="14.25" hidden="1" customHeight="1">
      <c r="A559" s="519" t="s">
        <v>850</v>
      </c>
      <c r="B559" s="520"/>
      <c r="C559" s="520"/>
      <c r="D559" s="520"/>
      <c r="E559" s="520"/>
      <c r="F559" s="520"/>
      <c r="G559" s="520"/>
      <c r="H559" s="520"/>
      <c r="I559" s="520"/>
      <c r="J559" s="520"/>
      <c r="K559" s="520"/>
      <c r="L559" s="520"/>
      <c r="M559" s="520"/>
      <c r="N559" s="520"/>
      <c r="O559" s="520"/>
      <c r="P559" s="520"/>
      <c r="Q559" s="520"/>
      <c r="R559" s="520"/>
      <c r="S559" s="520"/>
      <c r="T559" s="520"/>
      <c r="U559" s="520"/>
      <c r="V559" s="520"/>
      <c r="W559" s="520"/>
      <c r="X559" s="520"/>
      <c r="Y559" s="520"/>
      <c r="Z559" s="520"/>
      <c r="AA559" s="520"/>
      <c r="AB559" s="520"/>
      <c r="AC559" s="520"/>
      <c r="AD559" s="520"/>
      <c r="AE559" s="520"/>
      <c r="AF559" s="520"/>
      <c r="AG559" s="520"/>
      <c r="AH559" s="520"/>
      <c r="AI559" s="520"/>
      <c r="AJ559" s="520"/>
      <c r="AK559" s="520"/>
      <c r="AL559" s="521"/>
      <c r="AM559" s="352"/>
      <c r="AN559" s="352"/>
    </row>
    <row r="560" spans="1:40" s="19" customFormat="1" ht="9" hidden="1" customHeight="1">
      <c r="A560" s="349">
        <v>180</v>
      </c>
      <c r="B560" s="346" t="s">
        <v>846</v>
      </c>
      <c r="C560" s="348">
        <v>858.98</v>
      </c>
      <c r="D560" s="343"/>
      <c r="E560" s="348"/>
      <c r="F560" s="348"/>
      <c r="G560" s="348">
        <v>537687.12</v>
      </c>
      <c r="H560" s="348">
        <f t="shared" ref="H560:H563" si="257">I560+K560+M560+O560+Q560+S560</f>
        <v>248599.76</v>
      </c>
      <c r="I560" s="129">
        <v>0</v>
      </c>
      <c r="J560" s="129">
        <v>0</v>
      </c>
      <c r="K560" s="129">
        <v>0</v>
      </c>
      <c r="L560" s="129">
        <v>95</v>
      </c>
      <c r="M560" s="129">
        <f>ROUND(0.955*(C560*303.05),2)</f>
        <v>248599.76</v>
      </c>
      <c r="N560" s="348">
        <v>0</v>
      </c>
      <c r="O560" s="348">
        <v>0</v>
      </c>
      <c r="P560" s="348">
        <v>0</v>
      </c>
      <c r="Q560" s="348">
        <v>0</v>
      </c>
      <c r="R560" s="348">
        <v>0</v>
      </c>
      <c r="S560" s="348">
        <v>0</v>
      </c>
      <c r="T560" s="44">
        <v>0</v>
      </c>
      <c r="U560" s="348">
        <v>0</v>
      </c>
      <c r="V560" s="348"/>
      <c r="W560" s="351">
        <v>0</v>
      </c>
      <c r="X560" s="348">
        <v>0</v>
      </c>
      <c r="Y560" s="351">
        <v>0</v>
      </c>
      <c r="Z560" s="351">
        <v>0</v>
      </c>
      <c r="AA560" s="351">
        <v>0</v>
      </c>
      <c r="AB560" s="351">
        <v>0</v>
      </c>
      <c r="AC560" s="351">
        <v>0</v>
      </c>
      <c r="AD560" s="351">
        <v>0</v>
      </c>
      <c r="AE560" s="351">
        <v>0</v>
      </c>
      <c r="AF560" s="351">
        <v>0</v>
      </c>
      <c r="AG560" s="351">
        <v>0</v>
      </c>
      <c r="AH560" s="351">
        <v>0</v>
      </c>
      <c r="AI560" s="348">
        <f>ROUND(0.955*C560*322.91,2)</f>
        <v>264891.44</v>
      </c>
      <c r="AJ560" s="351">
        <f>ROUND(0.03*(303.05+322.91)*C560,2)</f>
        <v>16130.61</v>
      </c>
      <c r="AK560" s="351">
        <f>ROUND(0.015*(303.05+322.91)*C560,2)</f>
        <v>8065.31</v>
      </c>
      <c r="AL560" s="351">
        <v>0</v>
      </c>
      <c r="AM560" s="352"/>
      <c r="AN560" s="352"/>
    </row>
    <row r="561" spans="1:40" s="19" customFormat="1" ht="9" hidden="1" customHeight="1">
      <c r="A561" s="349">
        <v>181</v>
      </c>
      <c r="B561" s="346" t="s">
        <v>847</v>
      </c>
      <c r="C561" s="348">
        <v>596.15</v>
      </c>
      <c r="D561" s="343"/>
      <c r="E561" s="348"/>
      <c r="F561" s="348"/>
      <c r="G561" s="348">
        <v>373166.06</v>
      </c>
      <c r="H561" s="348">
        <f t="shared" si="257"/>
        <v>172533.42</v>
      </c>
      <c r="I561" s="129">
        <v>0</v>
      </c>
      <c r="J561" s="129">
        <v>0</v>
      </c>
      <c r="K561" s="129">
        <v>0</v>
      </c>
      <c r="L561" s="129">
        <v>105</v>
      </c>
      <c r="M561" s="129">
        <f>ROUND(0.955*(C561*303.05)+0.01,2)</f>
        <v>172533.42</v>
      </c>
      <c r="N561" s="348">
        <v>0</v>
      </c>
      <c r="O561" s="348">
        <v>0</v>
      </c>
      <c r="P561" s="348">
        <v>0</v>
      </c>
      <c r="Q561" s="348">
        <v>0</v>
      </c>
      <c r="R561" s="348">
        <v>0</v>
      </c>
      <c r="S561" s="348">
        <v>0</v>
      </c>
      <c r="T561" s="44">
        <v>0</v>
      </c>
      <c r="U561" s="348">
        <v>0</v>
      </c>
      <c r="V561" s="348"/>
      <c r="W561" s="351">
        <v>0</v>
      </c>
      <c r="X561" s="348">
        <v>0</v>
      </c>
      <c r="Y561" s="351">
        <v>0</v>
      </c>
      <c r="Z561" s="351">
        <v>0</v>
      </c>
      <c r="AA561" s="351">
        <v>0</v>
      </c>
      <c r="AB561" s="351">
        <v>0</v>
      </c>
      <c r="AC561" s="351">
        <v>0</v>
      </c>
      <c r="AD561" s="351">
        <v>0</v>
      </c>
      <c r="AE561" s="351">
        <v>0</v>
      </c>
      <c r="AF561" s="351">
        <v>0</v>
      </c>
      <c r="AG561" s="351">
        <v>0</v>
      </c>
      <c r="AH561" s="351">
        <v>0</v>
      </c>
      <c r="AI561" s="348">
        <f>ROUND(0.955*C561*322.91,2)</f>
        <v>183840.17</v>
      </c>
      <c r="AJ561" s="351">
        <f t="shared" ref="AJ561:AJ563" si="258">ROUND(0.03*(303.05+322.91)*C561,2)</f>
        <v>11194.98</v>
      </c>
      <c r="AK561" s="351">
        <f t="shared" ref="AK561:AK563" si="259">ROUND(0.015*(303.05+322.91)*C561,2)</f>
        <v>5597.49</v>
      </c>
      <c r="AL561" s="351">
        <v>0</v>
      </c>
      <c r="AM561" s="352"/>
      <c r="AN561" s="352"/>
    </row>
    <row r="562" spans="1:40" s="19" customFormat="1" ht="9" hidden="1" customHeight="1">
      <c r="A562" s="349">
        <v>182</v>
      </c>
      <c r="B562" s="346" t="s">
        <v>848</v>
      </c>
      <c r="C562" s="348">
        <v>590.36</v>
      </c>
      <c r="D562" s="343"/>
      <c r="E562" s="348"/>
      <c r="F562" s="348"/>
      <c r="G562" s="348">
        <v>369541.75</v>
      </c>
      <c r="H562" s="348">
        <f t="shared" si="257"/>
        <v>170857.71</v>
      </c>
      <c r="I562" s="129">
        <v>0</v>
      </c>
      <c r="J562" s="129">
        <v>0</v>
      </c>
      <c r="K562" s="129">
        <v>0</v>
      </c>
      <c r="L562" s="129">
        <v>49</v>
      </c>
      <c r="M562" s="129">
        <f>ROUND(0.955*(C562*303.05),2)</f>
        <v>170857.71</v>
      </c>
      <c r="N562" s="348">
        <v>0</v>
      </c>
      <c r="O562" s="348">
        <v>0</v>
      </c>
      <c r="P562" s="348">
        <v>0</v>
      </c>
      <c r="Q562" s="348">
        <v>0</v>
      </c>
      <c r="R562" s="348">
        <v>0</v>
      </c>
      <c r="S562" s="348">
        <v>0</v>
      </c>
      <c r="T562" s="44">
        <v>0</v>
      </c>
      <c r="U562" s="348">
        <v>0</v>
      </c>
      <c r="V562" s="348"/>
      <c r="W562" s="351">
        <v>0</v>
      </c>
      <c r="X562" s="348">
        <v>0</v>
      </c>
      <c r="Y562" s="351">
        <v>0</v>
      </c>
      <c r="Z562" s="351">
        <v>0</v>
      </c>
      <c r="AA562" s="351">
        <v>0</v>
      </c>
      <c r="AB562" s="351">
        <v>0</v>
      </c>
      <c r="AC562" s="351">
        <v>0</v>
      </c>
      <c r="AD562" s="351">
        <v>0</v>
      </c>
      <c r="AE562" s="351">
        <v>0</v>
      </c>
      <c r="AF562" s="351">
        <v>0</v>
      </c>
      <c r="AG562" s="351">
        <v>0</v>
      </c>
      <c r="AH562" s="351">
        <v>0</v>
      </c>
      <c r="AI562" s="348">
        <f>ROUND(0.955*C562*322.91,2)</f>
        <v>182054.66</v>
      </c>
      <c r="AJ562" s="351">
        <f t="shared" si="258"/>
        <v>11086.25</v>
      </c>
      <c r="AK562" s="351">
        <f t="shared" si="259"/>
        <v>5543.13</v>
      </c>
      <c r="AL562" s="351">
        <v>0</v>
      </c>
      <c r="AM562" s="352"/>
      <c r="AN562" s="352"/>
    </row>
    <row r="563" spans="1:40" s="19" customFormat="1" ht="9" hidden="1" customHeight="1">
      <c r="A563" s="349">
        <v>183</v>
      </c>
      <c r="B563" s="346" t="s">
        <v>849</v>
      </c>
      <c r="C563" s="348">
        <v>585.69000000000005</v>
      </c>
      <c r="D563" s="343"/>
      <c r="E563" s="348"/>
      <c r="F563" s="348"/>
      <c r="G563" s="348">
        <v>366618.51</v>
      </c>
      <c r="H563" s="348">
        <f t="shared" si="257"/>
        <v>169506.14</v>
      </c>
      <c r="I563" s="129">
        <v>0</v>
      </c>
      <c r="J563" s="129">
        <v>0</v>
      </c>
      <c r="K563" s="129">
        <v>0</v>
      </c>
      <c r="L563" s="129">
        <v>73</v>
      </c>
      <c r="M563" s="129">
        <f>ROUND(0.955*(C563*303.05)-0.01,2)</f>
        <v>169506.14</v>
      </c>
      <c r="N563" s="348">
        <v>0</v>
      </c>
      <c r="O563" s="348">
        <v>0</v>
      </c>
      <c r="P563" s="348">
        <v>0</v>
      </c>
      <c r="Q563" s="348">
        <v>0</v>
      </c>
      <c r="R563" s="348">
        <v>0</v>
      </c>
      <c r="S563" s="348">
        <v>0</v>
      </c>
      <c r="T563" s="44">
        <v>0</v>
      </c>
      <c r="U563" s="348">
        <v>0</v>
      </c>
      <c r="V563" s="348"/>
      <c r="W563" s="351">
        <v>0</v>
      </c>
      <c r="X563" s="348">
        <v>0</v>
      </c>
      <c r="Y563" s="351">
        <v>0</v>
      </c>
      <c r="Z563" s="351">
        <v>0</v>
      </c>
      <c r="AA563" s="351">
        <v>0</v>
      </c>
      <c r="AB563" s="351">
        <v>0</v>
      </c>
      <c r="AC563" s="351">
        <v>0</v>
      </c>
      <c r="AD563" s="351">
        <v>0</v>
      </c>
      <c r="AE563" s="351">
        <v>0</v>
      </c>
      <c r="AF563" s="351">
        <v>0</v>
      </c>
      <c r="AG563" s="351">
        <v>0</v>
      </c>
      <c r="AH563" s="351">
        <v>0</v>
      </c>
      <c r="AI563" s="348">
        <f>ROUND(0.955*C563*322.91,2)</f>
        <v>180614.53</v>
      </c>
      <c r="AJ563" s="351">
        <f t="shared" si="258"/>
        <v>10998.56</v>
      </c>
      <c r="AK563" s="351">
        <f t="shared" si="259"/>
        <v>5499.28</v>
      </c>
      <c r="AL563" s="351">
        <v>0</v>
      </c>
      <c r="AM563" s="352"/>
      <c r="AN563" s="352"/>
    </row>
    <row r="564" spans="1:40" s="19" customFormat="1" ht="35.25" hidden="1" customHeight="1">
      <c r="A564" s="599" t="s">
        <v>1123</v>
      </c>
      <c r="B564" s="599"/>
      <c r="C564" s="348">
        <f>SUM(C560:C563)</f>
        <v>2631.1800000000003</v>
      </c>
      <c r="D564" s="348"/>
      <c r="E564" s="348"/>
      <c r="F564" s="348"/>
      <c r="G564" s="348">
        <f>SUM(G560:G563)</f>
        <v>1647013.44</v>
      </c>
      <c r="H564" s="348">
        <f t="shared" ref="H564:AL564" si="260">SUM(H560:H563)</f>
        <v>761497.03</v>
      </c>
      <c r="I564" s="348">
        <f t="shared" si="260"/>
        <v>0</v>
      </c>
      <c r="J564" s="348">
        <f t="shared" si="260"/>
        <v>0</v>
      </c>
      <c r="K564" s="348">
        <f t="shared" si="260"/>
        <v>0</v>
      </c>
      <c r="L564" s="348">
        <f t="shared" si="260"/>
        <v>322</v>
      </c>
      <c r="M564" s="348">
        <f t="shared" si="260"/>
        <v>761497.03</v>
      </c>
      <c r="N564" s="348">
        <f t="shared" si="260"/>
        <v>0</v>
      </c>
      <c r="O564" s="348">
        <f t="shared" si="260"/>
        <v>0</v>
      </c>
      <c r="P564" s="348">
        <f t="shared" si="260"/>
        <v>0</v>
      </c>
      <c r="Q564" s="348">
        <f t="shared" si="260"/>
        <v>0</v>
      </c>
      <c r="R564" s="348">
        <f t="shared" si="260"/>
        <v>0</v>
      </c>
      <c r="S564" s="348">
        <f t="shared" si="260"/>
        <v>0</v>
      </c>
      <c r="T564" s="44">
        <f t="shared" si="260"/>
        <v>0</v>
      </c>
      <c r="U564" s="348">
        <f t="shared" si="260"/>
        <v>0</v>
      </c>
      <c r="V564" s="348" t="s">
        <v>387</v>
      </c>
      <c r="W564" s="348">
        <f t="shared" si="260"/>
        <v>0</v>
      </c>
      <c r="X564" s="348">
        <f t="shared" si="260"/>
        <v>0</v>
      </c>
      <c r="Y564" s="348">
        <f t="shared" si="260"/>
        <v>0</v>
      </c>
      <c r="Z564" s="348">
        <f t="shared" si="260"/>
        <v>0</v>
      </c>
      <c r="AA564" s="348">
        <f t="shared" si="260"/>
        <v>0</v>
      </c>
      <c r="AB564" s="348">
        <f t="shared" si="260"/>
        <v>0</v>
      </c>
      <c r="AC564" s="348">
        <f t="shared" si="260"/>
        <v>0</v>
      </c>
      <c r="AD564" s="348">
        <f t="shared" si="260"/>
        <v>0</v>
      </c>
      <c r="AE564" s="348">
        <f t="shared" si="260"/>
        <v>0</v>
      </c>
      <c r="AF564" s="348">
        <f t="shared" si="260"/>
        <v>0</v>
      </c>
      <c r="AG564" s="348">
        <f t="shared" si="260"/>
        <v>0</v>
      </c>
      <c r="AH564" s="348">
        <f t="shared" si="260"/>
        <v>0</v>
      </c>
      <c r="AI564" s="348">
        <f t="shared" si="260"/>
        <v>811400.8</v>
      </c>
      <c r="AJ564" s="348">
        <f t="shared" si="260"/>
        <v>49410.399999999994</v>
      </c>
      <c r="AK564" s="348">
        <f t="shared" si="260"/>
        <v>24705.21</v>
      </c>
      <c r="AL564" s="348">
        <f t="shared" si="260"/>
        <v>0</v>
      </c>
      <c r="AM564" s="352"/>
      <c r="AN564" s="352"/>
    </row>
    <row r="565" spans="1:40" s="19" customFormat="1" ht="11.25" hidden="1" customHeight="1">
      <c r="A565" s="514" t="s">
        <v>431</v>
      </c>
      <c r="B565" s="515"/>
      <c r="C565" s="515"/>
      <c r="D565" s="515"/>
      <c r="E565" s="515"/>
      <c r="F565" s="515"/>
      <c r="G565" s="515"/>
      <c r="H565" s="515"/>
      <c r="I565" s="515"/>
      <c r="J565" s="515"/>
      <c r="K565" s="515"/>
      <c r="L565" s="515"/>
      <c r="M565" s="515"/>
      <c r="N565" s="515"/>
      <c r="O565" s="515"/>
      <c r="P565" s="515"/>
      <c r="Q565" s="515"/>
      <c r="R565" s="515"/>
      <c r="S565" s="515"/>
      <c r="T565" s="515"/>
      <c r="U565" s="515"/>
      <c r="V565" s="515"/>
      <c r="W565" s="515"/>
      <c r="X565" s="515"/>
      <c r="Y565" s="515"/>
      <c r="Z565" s="515"/>
      <c r="AA565" s="515"/>
      <c r="AB565" s="515"/>
      <c r="AC565" s="515"/>
      <c r="AD565" s="515"/>
      <c r="AE565" s="515"/>
      <c r="AF565" s="515"/>
      <c r="AG565" s="515"/>
      <c r="AH565" s="515"/>
      <c r="AI565" s="515"/>
      <c r="AJ565" s="515"/>
      <c r="AK565" s="515"/>
      <c r="AL565" s="516"/>
      <c r="AM565" s="352"/>
      <c r="AN565" s="352"/>
    </row>
    <row r="566" spans="1:40" s="19" customFormat="1" ht="9" hidden="1" customHeight="1">
      <c r="A566" s="78">
        <v>184</v>
      </c>
      <c r="B566" s="346" t="s">
        <v>853</v>
      </c>
      <c r="C566" s="348">
        <v>424.1</v>
      </c>
      <c r="D566" s="343"/>
      <c r="E566" s="348"/>
      <c r="F566" s="348"/>
      <c r="G566" s="348">
        <v>1513512</v>
      </c>
      <c r="H566" s="348">
        <f t="shared" ref="H566:H567" si="261">I566+K566+M566+O566+Q566+S566</f>
        <v>0</v>
      </c>
      <c r="I566" s="129">
        <v>0</v>
      </c>
      <c r="J566" s="129">
        <v>0</v>
      </c>
      <c r="K566" s="129">
        <v>0</v>
      </c>
      <c r="L566" s="129">
        <v>0</v>
      </c>
      <c r="M566" s="129">
        <v>0</v>
      </c>
      <c r="N566" s="348">
        <v>0</v>
      </c>
      <c r="O566" s="348">
        <v>0</v>
      </c>
      <c r="P566" s="348">
        <v>0</v>
      </c>
      <c r="Q566" s="348">
        <v>0</v>
      </c>
      <c r="R566" s="348">
        <v>0</v>
      </c>
      <c r="S566" s="348">
        <v>0</v>
      </c>
      <c r="T566" s="44">
        <v>0</v>
      </c>
      <c r="U566" s="348">
        <v>0</v>
      </c>
      <c r="V566" s="348" t="s">
        <v>998</v>
      </c>
      <c r="W566" s="351">
        <v>468</v>
      </c>
      <c r="X566" s="348">
        <f t="shared" ref="X566:X567" si="262">ROUND(G566/100*95.5,2)</f>
        <v>1445403.96</v>
      </c>
      <c r="Y566" s="351">
        <v>0</v>
      </c>
      <c r="Z566" s="351">
        <v>0</v>
      </c>
      <c r="AA566" s="351">
        <v>0</v>
      </c>
      <c r="AB566" s="351">
        <v>0</v>
      </c>
      <c r="AC566" s="351">
        <v>0</v>
      </c>
      <c r="AD566" s="351">
        <v>0</v>
      </c>
      <c r="AE566" s="351">
        <v>0</v>
      </c>
      <c r="AF566" s="351">
        <v>0</v>
      </c>
      <c r="AG566" s="351">
        <v>0</v>
      </c>
      <c r="AH566" s="351">
        <v>0</v>
      </c>
      <c r="AI566" s="351">
        <v>0</v>
      </c>
      <c r="AJ566" s="351">
        <f t="shared" ref="AJ566:AJ567" si="263">ROUND(G566/100*3,2)</f>
        <v>45405.36</v>
      </c>
      <c r="AK566" s="351">
        <f t="shared" ref="AK566:AK567" si="264">ROUND(G566/100*1.5,2)</f>
        <v>22702.68</v>
      </c>
      <c r="AL566" s="351">
        <v>0</v>
      </c>
      <c r="AM566" s="352"/>
      <c r="AN566" s="352"/>
    </row>
    <row r="567" spans="1:40" s="19" customFormat="1" ht="9" hidden="1" customHeight="1">
      <c r="A567" s="78">
        <v>185</v>
      </c>
      <c r="B567" s="346" t="s">
        <v>854</v>
      </c>
      <c r="C567" s="348">
        <v>488.2</v>
      </c>
      <c r="D567" s="343"/>
      <c r="E567" s="348"/>
      <c r="F567" s="348"/>
      <c r="G567" s="348">
        <v>1752828</v>
      </c>
      <c r="H567" s="348">
        <f t="shared" si="261"/>
        <v>0</v>
      </c>
      <c r="I567" s="129">
        <v>0</v>
      </c>
      <c r="J567" s="129">
        <v>0</v>
      </c>
      <c r="K567" s="129">
        <v>0</v>
      </c>
      <c r="L567" s="129">
        <v>0</v>
      </c>
      <c r="M567" s="129">
        <v>0</v>
      </c>
      <c r="N567" s="348">
        <v>0</v>
      </c>
      <c r="O567" s="348">
        <v>0</v>
      </c>
      <c r="P567" s="348">
        <v>0</v>
      </c>
      <c r="Q567" s="348">
        <v>0</v>
      </c>
      <c r="R567" s="348">
        <v>0</v>
      </c>
      <c r="S567" s="348">
        <v>0</v>
      </c>
      <c r="T567" s="44">
        <v>0</v>
      </c>
      <c r="U567" s="348">
        <v>0</v>
      </c>
      <c r="V567" s="348" t="s">
        <v>998</v>
      </c>
      <c r="W567" s="351">
        <v>542</v>
      </c>
      <c r="X567" s="348">
        <f t="shared" si="262"/>
        <v>1673950.74</v>
      </c>
      <c r="Y567" s="351">
        <v>0</v>
      </c>
      <c r="Z567" s="351">
        <v>0</v>
      </c>
      <c r="AA567" s="351">
        <v>0</v>
      </c>
      <c r="AB567" s="351">
        <v>0</v>
      </c>
      <c r="AC567" s="351">
        <v>0</v>
      </c>
      <c r="AD567" s="351">
        <v>0</v>
      </c>
      <c r="AE567" s="351">
        <v>0</v>
      </c>
      <c r="AF567" s="351">
        <v>0</v>
      </c>
      <c r="AG567" s="351">
        <v>0</v>
      </c>
      <c r="AH567" s="351">
        <v>0</v>
      </c>
      <c r="AI567" s="351">
        <v>0</v>
      </c>
      <c r="AJ567" s="351">
        <f t="shared" si="263"/>
        <v>52584.84</v>
      </c>
      <c r="AK567" s="351">
        <f t="shared" si="264"/>
        <v>26292.42</v>
      </c>
      <c r="AL567" s="351">
        <v>0</v>
      </c>
      <c r="AM567" s="352"/>
      <c r="AN567" s="352"/>
    </row>
    <row r="568" spans="1:40" s="19" customFormat="1" ht="24.75" hidden="1" customHeight="1">
      <c r="A568" s="599" t="s">
        <v>432</v>
      </c>
      <c r="B568" s="599"/>
      <c r="C568" s="348">
        <f>SUM(C566:C567)</f>
        <v>912.3</v>
      </c>
      <c r="D568" s="248"/>
      <c r="E568" s="79"/>
      <c r="F568" s="79"/>
      <c r="G568" s="348">
        <f>SUM(G566:G567)</f>
        <v>3266340</v>
      </c>
      <c r="H568" s="348">
        <f t="shared" ref="H568:AN568" si="265">SUM(H566:H567)</f>
        <v>0</v>
      </c>
      <c r="I568" s="348">
        <f t="shared" si="265"/>
        <v>0</v>
      </c>
      <c r="J568" s="348">
        <f t="shared" si="265"/>
        <v>0</v>
      </c>
      <c r="K568" s="348">
        <f t="shared" si="265"/>
        <v>0</v>
      </c>
      <c r="L568" s="348">
        <f t="shared" si="265"/>
        <v>0</v>
      </c>
      <c r="M568" s="348">
        <f t="shared" si="265"/>
        <v>0</v>
      </c>
      <c r="N568" s="348">
        <f t="shared" si="265"/>
        <v>0</v>
      </c>
      <c r="O568" s="348">
        <f t="shared" si="265"/>
        <v>0</v>
      </c>
      <c r="P568" s="348">
        <f t="shared" si="265"/>
        <v>0</v>
      </c>
      <c r="Q568" s="348">
        <f t="shared" si="265"/>
        <v>0</v>
      </c>
      <c r="R568" s="348">
        <f t="shared" si="265"/>
        <v>0</v>
      </c>
      <c r="S568" s="348">
        <f t="shared" si="265"/>
        <v>0</v>
      </c>
      <c r="T568" s="44">
        <f t="shared" si="265"/>
        <v>0</v>
      </c>
      <c r="U568" s="348">
        <f t="shared" si="265"/>
        <v>0</v>
      </c>
      <c r="V568" s="79" t="s">
        <v>387</v>
      </c>
      <c r="W568" s="348">
        <f t="shared" si="265"/>
        <v>1010</v>
      </c>
      <c r="X568" s="348">
        <f t="shared" si="265"/>
        <v>3119354.7</v>
      </c>
      <c r="Y568" s="348">
        <f t="shared" si="265"/>
        <v>0</v>
      </c>
      <c r="Z568" s="348">
        <f t="shared" si="265"/>
        <v>0</v>
      </c>
      <c r="AA568" s="348">
        <f t="shared" si="265"/>
        <v>0</v>
      </c>
      <c r="AB568" s="348">
        <f t="shared" si="265"/>
        <v>0</v>
      </c>
      <c r="AC568" s="348">
        <f t="shared" si="265"/>
        <v>0</v>
      </c>
      <c r="AD568" s="348">
        <f t="shared" si="265"/>
        <v>0</v>
      </c>
      <c r="AE568" s="348">
        <f t="shared" si="265"/>
        <v>0</v>
      </c>
      <c r="AF568" s="348">
        <f t="shared" si="265"/>
        <v>0</v>
      </c>
      <c r="AG568" s="348">
        <f t="shared" si="265"/>
        <v>0</v>
      </c>
      <c r="AH568" s="348">
        <f t="shared" si="265"/>
        <v>0</v>
      </c>
      <c r="AI568" s="348">
        <f t="shared" si="265"/>
        <v>0</v>
      </c>
      <c r="AJ568" s="348">
        <f t="shared" si="265"/>
        <v>97990.2</v>
      </c>
      <c r="AK568" s="348">
        <f t="shared" si="265"/>
        <v>48995.1</v>
      </c>
      <c r="AL568" s="348">
        <f t="shared" si="265"/>
        <v>0</v>
      </c>
      <c r="AM568" s="348">
        <f t="shared" si="265"/>
        <v>0</v>
      </c>
      <c r="AN568" s="348">
        <f t="shared" si="265"/>
        <v>0</v>
      </c>
    </row>
    <row r="569" spans="1:40" s="19" customFormat="1" ht="13.5" hidden="1" customHeight="1">
      <c r="A569" s="519" t="s">
        <v>1070</v>
      </c>
      <c r="B569" s="520"/>
      <c r="C569" s="520"/>
      <c r="D569" s="520"/>
      <c r="E569" s="520"/>
      <c r="F569" s="520"/>
      <c r="G569" s="520"/>
      <c r="H569" s="520"/>
      <c r="I569" s="520"/>
      <c r="J569" s="520"/>
      <c r="K569" s="520"/>
      <c r="L569" s="520"/>
      <c r="M569" s="520"/>
      <c r="N569" s="520"/>
      <c r="O569" s="520"/>
      <c r="P569" s="520"/>
      <c r="Q569" s="520"/>
      <c r="R569" s="520"/>
      <c r="S569" s="520"/>
      <c r="T569" s="520"/>
      <c r="U569" s="520"/>
      <c r="V569" s="520"/>
      <c r="W569" s="520"/>
      <c r="X569" s="520"/>
      <c r="Y569" s="520"/>
      <c r="Z569" s="520"/>
      <c r="AA569" s="520"/>
      <c r="AB569" s="520"/>
      <c r="AC569" s="520"/>
      <c r="AD569" s="520"/>
      <c r="AE569" s="520"/>
      <c r="AF569" s="520"/>
      <c r="AG569" s="520"/>
      <c r="AH569" s="520"/>
      <c r="AI569" s="520"/>
      <c r="AJ569" s="520"/>
      <c r="AK569" s="520"/>
      <c r="AL569" s="521"/>
      <c r="AM569" s="352"/>
      <c r="AN569" s="352"/>
    </row>
    <row r="570" spans="1:40" s="19" customFormat="1" ht="9" hidden="1" customHeight="1">
      <c r="A570" s="349">
        <v>186</v>
      </c>
      <c r="B570" s="346" t="s">
        <v>881</v>
      </c>
      <c r="C570" s="348">
        <v>8774</v>
      </c>
      <c r="D570" s="343"/>
      <c r="E570" s="348"/>
      <c r="F570" s="348"/>
      <c r="G570" s="348">
        <v>7967926.5999999996</v>
      </c>
      <c r="H570" s="348">
        <f t="shared" ref="H570" si="266">I570+K570+M570+O570+Q570+S570</f>
        <v>0</v>
      </c>
      <c r="I570" s="129">
        <v>0</v>
      </c>
      <c r="J570" s="129">
        <v>0</v>
      </c>
      <c r="K570" s="129">
        <v>0</v>
      </c>
      <c r="L570" s="129">
        <v>0</v>
      </c>
      <c r="M570" s="129">
        <v>0</v>
      </c>
      <c r="N570" s="348">
        <v>0</v>
      </c>
      <c r="O570" s="348">
        <v>0</v>
      </c>
      <c r="P570" s="348">
        <v>0</v>
      </c>
      <c r="Q570" s="348">
        <v>0</v>
      </c>
      <c r="R570" s="348">
        <v>0</v>
      </c>
      <c r="S570" s="348">
        <v>0</v>
      </c>
      <c r="T570" s="44">
        <v>0</v>
      </c>
      <c r="U570" s="348">
        <v>0</v>
      </c>
      <c r="V570" s="348" t="s">
        <v>997</v>
      </c>
      <c r="W570" s="351">
        <v>2389.9</v>
      </c>
      <c r="X570" s="348">
        <f t="shared" ref="X570" si="267">ROUND(G570/100*95.5,2)</f>
        <v>7609369.9000000004</v>
      </c>
      <c r="Y570" s="351">
        <v>0</v>
      </c>
      <c r="Z570" s="351">
        <v>0</v>
      </c>
      <c r="AA570" s="351">
        <v>0</v>
      </c>
      <c r="AB570" s="351">
        <v>0</v>
      </c>
      <c r="AC570" s="351">
        <v>0</v>
      </c>
      <c r="AD570" s="351">
        <v>0</v>
      </c>
      <c r="AE570" s="351">
        <v>0</v>
      </c>
      <c r="AF570" s="351">
        <v>0</v>
      </c>
      <c r="AG570" s="351">
        <v>0</v>
      </c>
      <c r="AH570" s="351">
        <v>0</v>
      </c>
      <c r="AI570" s="351">
        <v>0</v>
      </c>
      <c r="AJ570" s="351">
        <f t="shared" ref="AJ570" si="268">ROUND(G570/100*3,2)</f>
        <v>239037.8</v>
      </c>
      <c r="AK570" s="351">
        <f t="shared" ref="AK570" si="269">ROUND(G570/100*1.5,2)</f>
        <v>119518.9</v>
      </c>
      <c r="AL570" s="351">
        <v>0</v>
      </c>
      <c r="AM570" s="352"/>
      <c r="AN570" s="352"/>
    </row>
    <row r="571" spans="1:40" s="19" customFormat="1" ht="33.75" hidden="1" customHeight="1">
      <c r="A571" s="599" t="s">
        <v>1071</v>
      </c>
      <c r="B571" s="599"/>
      <c r="C571" s="348">
        <f>SUM(C570)</f>
        <v>8774</v>
      </c>
      <c r="D571" s="248"/>
      <c r="E571" s="348"/>
      <c r="F571" s="348"/>
      <c r="G571" s="348">
        <f>SUM(G570)</f>
        <v>7967926.5999999996</v>
      </c>
      <c r="H571" s="348">
        <f t="shared" ref="H571:AL571" si="270">SUM(H570)</f>
        <v>0</v>
      </c>
      <c r="I571" s="348">
        <f t="shared" si="270"/>
        <v>0</v>
      </c>
      <c r="J571" s="348">
        <f t="shared" si="270"/>
        <v>0</v>
      </c>
      <c r="K571" s="348">
        <f t="shared" si="270"/>
        <v>0</v>
      </c>
      <c r="L571" s="348">
        <f t="shared" si="270"/>
        <v>0</v>
      </c>
      <c r="M571" s="348">
        <f t="shared" si="270"/>
        <v>0</v>
      </c>
      <c r="N571" s="348">
        <f t="shared" si="270"/>
        <v>0</v>
      </c>
      <c r="O571" s="348">
        <f t="shared" si="270"/>
        <v>0</v>
      </c>
      <c r="P571" s="348">
        <f t="shared" si="270"/>
        <v>0</v>
      </c>
      <c r="Q571" s="348">
        <f t="shared" si="270"/>
        <v>0</v>
      </c>
      <c r="R571" s="348">
        <f t="shared" si="270"/>
        <v>0</v>
      </c>
      <c r="S571" s="348">
        <f t="shared" si="270"/>
        <v>0</v>
      </c>
      <c r="T571" s="44">
        <f t="shared" si="270"/>
        <v>0</v>
      </c>
      <c r="U571" s="348">
        <f t="shared" si="270"/>
        <v>0</v>
      </c>
      <c r="V571" s="348" t="s">
        <v>387</v>
      </c>
      <c r="W571" s="348">
        <f t="shared" si="270"/>
        <v>2389.9</v>
      </c>
      <c r="X571" s="348">
        <f t="shared" si="270"/>
        <v>7609369.9000000004</v>
      </c>
      <c r="Y571" s="348">
        <f t="shared" si="270"/>
        <v>0</v>
      </c>
      <c r="Z571" s="348">
        <f t="shared" si="270"/>
        <v>0</v>
      </c>
      <c r="AA571" s="348">
        <f t="shared" si="270"/>
        <v>0</v>
      </c>
      <c r="AB571" s="348">
        <f t="shared" si="270"/>
        <v>0</v>
      </c>
      <c r="AC571" s="348">
        <f t="shared" si="270"/>
        <v>0</v>
      </c>
      <c r="AD571" s="348">
        <f t="shared" si="270"/>
        <v>0</v>
      </c>
      <c r="AE571" s="348">
        <f t="shared" si="270"/>
        <v>0</v>
      </c>
      <c r="AF571" s="348">
        <f t="shared" si="270"/>
        <v>0</v>
      </c>
      <c r="AG571" s="348">
        <f t="shared" si="270"/>
        <v>0</v>
      </c>
      <c r="AH571" s="348">
        <f t="shared" si="270"/>
        <v>0</v>
      </c>
      <c r="AI571" s="348">
        <f t="shared" si="270"/>
        <v>0</v>
      </c>
      <c r="AJ571" s="348">
        <f t="shared" si="270"/>
        <v>239037.8</v>
      </c>
      <c r="AK571" s="348">
        <f t="shared" si="270"/>
        <v>119518.9</v>
      </c>
      <c r="AL571" s="348">
        <f t="shared" si="270"/>
        <v>0</v>
      </c>
      <c r="AM571" s="352"/>
      <c r="AN571" s="352"/>
    </row>
    <row r="572" spans="1:40" s="19" customFormat="1" ht="15.75" hidden="1" customHeight="1">
      <c r="A572" s="519" t="s">
        <v>302</v>
      </c>
      <c r="B572" s="520"/>
      <c r="C572" s="520"/>
      <c r="D572" s="520"/>
      <c r="E572" s="520"/>
      <c r="F572" s="520"/>
      <c r="G572" s="520"/>
      <c r="H572" s="520"/>
      <c r="I572" s="520"/>
      <c r="J572" s="520"/>
      <c r="K572" s="520"/>
      <c r="L572" s="520"/>
      <c r="M572" s="520"/>
      <c r="N572" s="520"/>
      <c r="O572" s="520"/>
      <c r="P572" s="520"/>
      <c r="Q572" s="520"/>
      <c r="R572" s="520"/>
      <c r="S572" s="520"/>
      <c r="T572" s="520"/>
      <c r="U572" s="520"/>
      <c r="V572" s="520"/>
      <c r="W572" s="520"/>
      <c r="X572" s="520"/>
      <c r="Y572" s="520"/>
      <c r="Z572" s="520"/>
      <c r="AA572" s="520"/>
      <c r="AB572" s="520"/>
      <c r="AC572" s="520"/>
      <c r="AD572" s="520"/>
      <c r="AE572" s="520"/>
      <c r="AF572" s="520"/>
      <c r="AG572" s="520"/>
      <c r="AH572" s="520"/>
      <c r="AI572" s="520"/>
      <c r="AJ572" s="520"/>
      <c r="AK572" s="520"/>
      <c r="AL572" s="521"/>
      <c r="AM572" s="352"/>
      <c r="AN572" s="352"/>
    </row>
    <row r="573" spans="1:40" s="19" customFormat="1" ht="9" hidden="1" customHeight="1">
      <c r="A573" s="349">
        <v>187</v>
      </c>
      <c r="B573" s="346" t="s">
        <v>882</v>
      </c>
      <c r="C573" s="348">
        <v>602.1</v>
      </c>
      <c r="D573" s="343"/>
      <c r="E573" s="348"/>
      <c r="F573" s="348"/>
      <c r="G573" s="348">
        <v>1734588.24</v>
      </c>
      <c r="H573" s="348">
        <f t="shared" ref="H573" si="271">I573+K573+M573+O573+Q573+S573</f>
        <v>0</v>
      </c>
      <c r="I573" s="129">
        <v>0</v>
      </c>
      <c r="J573" s="129">
        <v>0</v>
      </c>
      <c r="K573" s="129">
        <v>0</v>
      </c>
      <c r="L573" s="129">
        <v>0</v>
      </c>
      <c r="M573" s="129">
        <v>0</v>
      </c>
      <c r="N573" s="348">
        <v>0</v>
      </c>
      <c r="O573" s="348">
        <v>0</v>
      </c>
      <c r="P573" s="348">
        <v>0</v>
      </c>
      <c r="Q573" s="348">
        <v>0</v>
      </c>
      <c r="R573" s="348">
        <v>0</v>
      </c>
      <c r="S573" s="348">
        <v>0</v>
      </c>
      <c r="T573" s="44">
        <v>0</v>
      </c>
      <c r="U573" s="348">
        <v>0</v>
      </c>
      <c r="V573" s="348" t="s">
        <v>998</v>
      </c>
      <c r="W573" s="351">
        <v>536.36</v>
      </c>
      <c r="X573" s="348">
        <f t="shared" ref="X573" si="272">ROUND(G573/100*95.5,2)</f>
        <v>1656531.77</v>
      </c>
      <c r="Y573" s="351">
        <v>0</v>
      </c>
      <c r="Z573" s="351">
        <v>0</v>
      </c>
      <c r="AA573" s="351">
        <v>0</v>
      </c>
      <c r="AB573" s="351">
        <v>0</v>
      </c>
      <c r="AC573" s="351">
        <v>0</v>
      </c>
      <c r="AD573" s="351">
        <v>0</v>
      </c>
      <c r="AE573" s="351">
        <v>0</v>
      </c>
      <c r="AF573" s="351">
        <v>0</v>
      </c>
      <c r="AG573" s="351">
        <v>0</v>
      </c>
      <c r="AH573" s="351">
        <v>0</v>
      </c>
      <c r="AI573" s="351">
        <v>0</v>
      </c>
      <c r="AJ573" s="351">
        <f t="shared" ref="AJ573" si="273">ROUND(G573/100*3,2)</f>
        <v>52037.65</v>
      </c>
      <c r="AK573" s="351">
        <f t="shared" ref="AK573" si="274">ROUND(G573/100*1.5,2)</f>
        <v>26018.82</v>
      </c>
      <c r="AL573" s="351">
        <v>0</v>
      </c>
      <c r="AM573" s="352"/>
      <c r="AN573" s="352"/>
    </row>
    <row r="574" spans="1:40" s="19" customFormat="1" ht="35.25" hidden="1" customHeight="1">
      <c r="A574" s="599" t="s">
        <v>297</v>
      </c>
      <c r="B574" s="599"/>
      <c r="C574" s="348">
        <f>SUM(C573)</f>
        <v>602.1</v>
      </c>
      <c r="D574" s="248"/>
      <c r="E574" s="348"/>
      <c r="F574" s="348"/>
      <c r="G574" s="348">
        <f>SUM(G573)</f>
        <v>1734588.24</v>
      </c>
      <c r="H574" s="348">
        <f t="shared" ref="H574:AL574" si="275">SUM(H573)</f>
        <v>0</v>
      </c>
      <c r="I574" s="348">
        <f t="shared" si="275"/>
        <v>0</v>
      </c>
      <c r="J574" s="348">
        <f t="shared" si="275"/>
        <v>0</v>
      </c>
      <c r="K574" s="348">
        <f t="shared" si="275"/>
        <v>0</v>
      </c>
      <c r="L574" s="348">
        <f t="shared" si="275"/>
        <v>0</v>
      </c>
      <c r="M574" s="348">
        <f t="shared" si="275"/>
        <v>0</v>
      </c>
      <c r="N574" s="348">
        <f t="shared" si="275"/>
        <v>0</v>
      </c>
      <c r="O574" s="348">
        <f t="shared" si="275"/>
        <v>0</v>
      </c>
      <c r="P574" s="348">
        <f t="shared" si="275"/>
        <v>0</v>
      </c>
      <c r="Q574" s="348">
        <f t="shared" si="275"/>
        <v>0</v>
      </c>
      <c r="R574" s="348">
        <f t="shared" si="275"/>
        <v>0</v>
      </c>
      <c r="S574" s="348">
        <f t="shared" si="275"/>
        <v>0</v>
      </c>
      <c r="T574" s="44">
        <f t="shared" si="275"/>
        <v>0</v>
      </c>
      <c r="U574" s="348">
        <f t="shared" si="275"/>
        <v>0</v>
      </c>
      <c r="V574" s="348" t="s">
        <v>387</v>
      </c>
      <c r="W574" s="348">
        <f t="shared" si="275"/>
        <v>536.36</v>
      </c>
      <c r="X574" s="348">
        <f t="shared" si="275"/>
        <v>1656531.77</v>
      </c>
      <c r="Y574" s="348">
        <f t="shared" si="275"/>
        <v>0</v>
      </c>
      <c r="Z574" s="348">
        <f t="shared" si="275"/>
        <v>0</v>
      </c>
      <c r="AA574" s="348">
        <f t="shared" si="275"/>
        <v>0</v>
      </c>
      <c r="AB574" s="348">
        <f t="shared" si="275"/>
        <v>0</v>
      </c>
      <c r="AC574" s="348">
        <f t="shared" si="275"/>
        <v>0</v>
      </c>
      <c r="AD574" s="348">
        <f t="shared" si="275"/>
        <v>0</v>
      </c>
      <c r="AE574" s="348">
        <f t="shared" si="275"/>
        <v>0</v>
      </c>
      <c r="AF574" s="348">
        <f t="shared" si="275"/>
        <v>0</v>
      </c>
      <c r="AG574" s="348">
        <f t="shared" si="275"/>
        <v>0</v>
      </c>
      <c r="AH574" s="348">
        <f t="shared" si="275"/>
        <v>0</v>
      </c>
      <c r="AI574" s="348">
        <f t="shared" si="275"/>
        <v>0</v>
      </c>
      <c r="AJ574" s="348">
        <f t="shared" si="275"/>
        <v>52037.65</v>
      </c>
      <c r="AK574" s="348">
        <f t="shared" si="275"/>
        <v>26018.82</v>
      </c>
      <c r="AL574" s="348">
        <f t="shared" si="275"/>
        <v>0</v>
      </c>
      <c r="AM574" s="352"/>
      <c r="AN574" s="352"/>
    </row>
    <row r="575" spans="1:40" s="19" customFormat="1" ht="14.25" hidden="1" customHeight="1">
      <c r="A575" s="519" t="s">
        <v>292</v>
      </c>
      <c r="B575" s="520"/>
      <c r="C575" s="520"/>
      <c r="D575" s="520"/>
      <c r="E575" s="520"/>
      <c r="F575" s="520"/>
      <c r="G575" s="520"/>
      <c r="H575" s="520"/>
      <c r="I575" s="520"/>
      <c r="J575" s="520"/>
      <c r="K575" s="520"/>
      <c r="L575" s="520"/>
      <c r="M575" s="520"/>
      <c r="N575" s="520"/>
      <c r="O575" s="520"/>
      <c r="P575" s="520"/>
      <c r="Q575" s="520"/>
      <c r="R575" s="520"/>
      <c r="S575" s="520"/>
      <c r="T575" s="520"/>
      <c r="U575" s="520"/>
      <c r="V575" s="520"/>
      <c r="W575" s="520"/>
      <c r="X575" s="520"/>
      <c r="Y575" s="520"/>
      <c r="Z575" s="520"/>
      <c r="AA575" s="520"/>
      <c r="AB575" s="520"/>
      <c r="AC575" s="520"/>
      <c r="AD575" s="520"/>
      <c r="AE575" s="520"/>
      <c r="AF575" s="520"/>
      <c r="AG575" s="520"/>
      <c r="AH575" s="520"/>
      <c r="AI575" s="520"/>
      <c r="AJ575" s="520"/>
      <c r="AK575" s="520"/>
      <c r="AL575" s="521"/>
      <c r="AM575" s="352"/>
      <c r="AN575" s="352"/>
    </row>
    <row r="576" spans="1:40" s="19" customFormat="1" ht="9" hidden="1" customHeight="1">
      <c r="A576" s="349">
        <v>188</v>
      </c>
      <c r="B576" s="346" t="s">
        <v>866</v>
      </c>
      <c r="C576" s="348">
        <v>4437.3999999999996</v>
      </c>
      <c r="D576" s="343"/>
      <c r="E576" s="348"/>
      <c r="F576" s="348"/>
      <c r="G576" s="348">
        <v>4456224.4000000004</v>
      </c>
      <c r="H576" s="348">
        <f t="shared" ref="H576:H584" si="276">I576+K576+M576+O576+Q576+S576</f>
        <v>0</v>
      </c>
      <c r="I576" s="129">
        <v>0</v>
      </c>
      <c r="J576" s="129">
        <v>0</v>
      </c>
      <c r="K576" s="129">
        <v>0</v>
      </c>
      <c r="L576" s="129">
        <v>0</v>
      </c>
      <c r="M576" s="129">
        <v>0</v>
      </c>
      <c r="N576" s="348">
        <v>0</v>
      </c>
      <c r="O576" s="348">
        <v>0</v>
      </c>
      <c r="P576" s="348">
        <v>0</v>
      </c>
      <c r="Q576" s="348">
        <v>0</v>
      </c>
      <c r="R576" s="348">
        <v>0</v>
      </c>
      <c r="S576" s="348">
        <v>0</v>
      </c>
      <c r="T576" s="44">
        <v>0</v>
      </c>
      <c r="U576" s="348">
        <v>0</v>
      </c>
      <c r="V576" s="348" t="s">
        <v>997</v>
      </c>
      <c r="W576" s="351">
        <v>1336.6</v>
      </c>
      <c r="X576" s="348">
        <f t="shared" ref="X576:X584" si="277">ROUND(G576/100*95.5,2)</f>
        <v>4255694.3</v>
      </c>
      <c r="Y576" s="351">
        <v>0</v>
      </c>
      <c r="Z576" s="351">
        <v>0</v>
      </c>
      <c r="AA576" s="351">
        <v>0</v>
      </c>
      <c r="AB576" s="351">
        <v>0</v>
      </c>
      <c r="AC576" s="351">
        <v>0</v>
      </c>
      <c r="AD576" s="351">
        <v>0</v>
      </c>
      <c r="AE576" s="351">
        <v>0</v>
      </c>
      <c r="AF576" s="351">
        <v>0</v>
      </c>
      <c r="AG576" s="351">
        <v>0</v>
      </c>
      <c r="AH576" s="351">
        <v>0</v>
      </c>
      <c r="AI576" s="351">
        <v>0</v>
      </c>
      <c r="AJ576" s="351">
        <f t="shared" ref="AJ576:AJ584" si="278">ROUND(G576/100*3,2)</f>
        <v>133686.73000000001</v>
      </c>
      <c r="AK576" s="351">
        <f t="shared" ref="AK576:AK584" si="279">ROUND(G576/100*1.5,2)</f>
        <v>66843.37</v>
      </c>
      <c r="AL576" s="351">
        <v>0</v>
      </c>
      <c r="AM576" s="352"/>
      <c r="AN576" s="352"/>
    </row>
    <row r="577" spans="1:40" s="19" customFormat="1" ht="9" hidden="1" customHeight="1">
      <c r="A577" s="349">
        <v>189</v>
      </c>
      <c r="B577" s="346" t="s">
        <v>867</v>
      </c>
      <c r="C577" s="348">
        <v>2840.9</v>
      </c>
      <c r="D577" s="343"/>
      <c r="E577" s="348"/>
      <c r="F577" s="348"/>
      <c r="G577" s="348">
        <v>2658531.6</v>
      </c>
      <c r="H577" s="348">
        <f t="shared" si="276"/>
        <v>0</v>
      </c>
      <c r="I577" s="129">
        <v>0</v>
      </c>
      <c r="J577" s="129">
        <v>0</v>
      </c>
      <c r="K577" s="129">
        <v>0</v>
      </c>
      <c r="L577" s="129">
        <v>0</v>
      </c>
      <c r="M577" s="129">
        <v>0</v>
      </c>
      <c r="N577" s="348">
        <v>0</v>
      </c>
      <c r="O577" s="348">
        <v>0</v>
      </c>
      <c r="P577" s="348">
        <v>0</v>
      </c>
      <c r="Q577" s="348">
        <v>0</v>
      </c>
      <c r="R577" s="348">
        <v>0</v>
      </c>
      <c r="S577" s="348">
        <v>0</v>
      </c>
      <c r="T577" s="44">
        <v>0</v>
      </c>
      <c r="U577" s="348">
        <v>0</v>
      </c>
      <c r="V577" s="348" t="s">
        <v>997</v>
      </c>
      <c r="W577" s="351">
        <v>797.4</v>
      </c>
      <c r="X577" s="348">
        <f t="shared" si="277"/>
        <v>2538897.6800000002</v>
      </c>
      <c r="Y577" s="351">
        <v>0</v>
      </c>
      <c r="Z577" s="351">
        <v>0</v>
      </c>
      <c r="AA577" s="351">
        <v>0</v>
      </c>
      <c r="AB577" s="351">
        <v>0</v>
      </c>
      <c r="AC577" s="351">
        <v>0</v>
      </c>
      <c r="AD577" s="351">
        <v>0</v>
      </c>
      <c r="AE577" s="351">
        <v>0</v>
      </c>
      <c r="AF577" s="351">
        <v>0</v>
      </c>
      <c r="AG577" s="351">
        <v>0</v>
      </c>
      <c r="AH577" s="351">
        <v>0</v>
      </c>
      <c r="AI577" s="351">
        <v>0</v>
      </c>
      <c r="AJ577" s="351">
        <f t="shared" si="278"/>
        <v>79755.95</v>
      </c>
      <c r="AK577" s="351">
        <f t="shared" si="279"/>
        <v>39877.97</v>
      </c>
      <c r="AL577" s="351">
        <v>0</v>
      </c>
      <c r="AM577" s="352"/>
      <c r="AN577" s="352"/>
    </row>
    <row r="578" spans="1:40" s="19" customFormat="1" ht="9" hidden="1" customHeight="1">
      <c r="A578" s="349">
        <v>190</v>
      </c>
      <c r="B578" s="346" t="s">
        <v>868</v>
      </c>
      <c r="C578" s="348">
        <v>504.1</v>
      </c>
      <c r="D578" s="343"/>
      <c r="E578" s="348"/>
      <c r="F578" s="348"/>
      <c r="G578" s="348">
        <v>1804572</v>
      </c>
      <c r="H578" s="348">
        <f t="shared" si="276"/>
        <v>0</v>
      </c>
      <c r="I578" s="129">
        <v>0</v>
      </c>
      <c r="J578" s="129">
        <v>0</v>
      </c>
      <c r="K578" s="129">
        <v>0</v>
      </c>
      <c r="L578" s="129">
        <v>0</v>
      </c>
      <c r="M578" s="129">
        <v>0</v>
      </c>
      <c r="N578" s="348">
        <v>0</v>
      </c>
      <c r="O578" s="348">
        <v>0</v>
      </c>
      <c r="P578" s="348">
        <v>0</v>
      </c>
      <c r="Q578" s="348">
        <v>0</v>
      </c>
      <c r="R578" s="348">
        <v>0</v>
      </c>
      <c r="S578" s="348">
        <v>0</v>
      </c>
      <c r="T578" s="44">
        <v>0</v>
      </c>
      <c r="U578" s="348">
        <v>0</v>
      </c>
      <c r="V578" s="348" t="s">
        <v>998</v>
      </c>
      <c r="W578" s="351">
        <v>558</v>
      </c>
      <c r="X578" s="348">
        <f t="shared" si="277"/>
        <v>1723366.26</v>
      </c>
      <c r="Y578" s="351">
        <v>0</v>
      </c>
      <c r="Z578" s="351">
        <v>0</v>
      </c>
      <c r="AA578" s="351">
        <v>0</v>
      </c>
      <c r="AB578" s="351">
        <v>0</v>
      </c>
      <c r="AC578" s="351">
        <v>0</v>
      </c>
      <c r="AD578" s="351">
        <v>0</v>
      </c>
      <c r="AE578" s="351">
        <v>0</v>
      </c>
      <c r="AF578" s="351">
        <v>0</v>
      </c>
      <c r="AG578" s="351">
        <v>0</v>
      </c>
      <c r="AH578" s="351">
        <v>0</v>
      </c>
      <c r="AI578" s="351">
        <v>0</v>
      </c>
      <c r="AJ578" s="351">
        <f t="shared" si="278"/>
        <v>54137.16</v>
      </c>
      <c r="AK578" s="351">
        <f t="shared" si="279"/>
        <v>27068.58</v>
      </c>
      <c r="AL578" s="351">
        <v>0</v>
      </c>
      <c r="AM578" s="352"/>
      <c r="AN578" s="352"/>
    </row>
    <row r="579" spans="1:40" s="19" customFormat="1" ht="9" hidden="1" customHeight="1">
      <c r="A579" s="349">
        <v>191</v>
      </c>
      <c r="B579" s="346" t="s">
        <v>869</v>
      </c>
      <c r="C579" s="348">
        <v>718.4</v>
      </c>
      <c r="D579" s="343">
        <v>315.5</v>
      </c>
      <c r="E579" s="348"/>
      <c r="F579" s="348"/>
      <c r="G579" s="348">
        <v>2080457.6600000001</v>
      </c>
      <c r="H579" s="348">
        <f t="shared" si="276"/>
        <v>1765297.5600000003</v>
      </c>
      <c r="I579" s="117">
        <f>ROUND(0.955*(C579*370),2)</f>
        <v>253846.64</v>
      </c>
      <c r="J579" s="129">
        <v>490</v>
      </c>
      <c r="K579" s="129">
        <f>ROUND(0.955*(C579*1200),2)</f>
        <v>823286.4</v>
      </c>
      <c r="L579" s="129">
        <v>0</v>
      </c>
      <c r="M579" s="129">
        <f>ROUND(0.955*(C579*303.05),2)</f>
        <v>207914.12</v>
      </c>
      <c r="N579" s="348">
        <v>220</v>
      </c>
      <c r="O579" s="348">
        <f>ROUND(0.955*(C579*210),2)</f>
        <v>144075.12</v>
      </c>
      <c r="P579" s="348">
        <v>0</v>
      </c>
      <c r="Q579" s="348">
        <f>ROUND(0.955*(C579*270),2)</f>
        <v>185239.44</v>
      </c>
      <c r="R579" s="348">
        <v>201</v>
      </c>
      <c r="S579" s="348">
        <f>ROUND(0.955*(C579*220),2)</f>
        <v>150935.84</v>
      </c>
      <c r="T579" s="44">
        <v>0</v>
      </c>
      <c r="U579" s="348">
        <v>0</v>
      </c>
      <c r="V579" s="348"/>
      <c r="W579" s="351">
        <v>0</v>
      </c>
      <c r="X579" s="348">
        <v>0</v>
      </c>
      <c r="Y579" s="351">
        <v>0</v>
      </c>
      <c r="Z579" s="351">
        <v>0</v>
      </c>
      <c r="AA579" s="351">
        <v>0</v>
      </c>
      <c r="AB579" s="351">
        <v>0</v>
      </c>
      <c r="AC579" s="351">
        <v>0</v>
      </c>
      <c r="AD579" s="351">
        <v>0</v>
      </c>
      <c r="AE579" s="351">
        <v>0</v>
      </c>
      <c r="AF579" s="351">
        <v>0</v>
      </c>
      <c r="AG579" s="351">
        <v>0</v>
      </c>
      <c r="AH579" s="351">
        <v>0</v>
      </c>
      <c r="AI579" s="348">
        <f>ROUND(0.955*C579*322.91,2)</f>
        <v>221539.51</v>
      </c>
      <c r="AJ579" s="351">
        <f>ROUND(0.03*(220+1200+270+370+210+303.05+322.91)*C579,2)</f>
        <v>62413.73</v>
      </c>
      <c r="AK579" s="351">
        <f>ROUND(0.015*(220+270+1200+370+210+303.05+322.91)*C579,2)</f>
        <v>31206.86</v>
      </c>
      <c r="AL579" s="351">
        <v>0</v>
      </c>
      <c r="AM579" s="352"/>
      <c r="AN579" s="352"/>
    </row>
    <row r="580" spans="1:40" s="19" customFormat="1" ht="9" hidden="1" customHeight="1">
      <c r="A580" s="349">
        <v>192</v>
      </c>
      <c r="B580" s="346" t="s">
        <v>870</v>
      </c>
      <c r="C580" s="348">
        <v>784.7</v>
      </c>
      <c r="D580" s="343"/>
      <c r="E580" s="348"/>
      <c r="F580" s="348"/>
      <c r="G580" s="348">
        <v>2248406.16</v>
      </c>
      <c r="H580" s="348">
        <f t="shared" si="276"/>
        <v>0</v>
      </c>
      <c r="I580" s="129">
        <v>0</v>
      </c>
      <c r="J580" s="129">
        <v>0</v>
      </c>
      <c r="K580" s="129">
        <v>0</v>
      </c>
      <c r="L580" s="129">
        <v>0</v>
      </c>
      <c r="M580" s="129">
        <v>0</v>
      </c>
      <c r="N580" s="348">
        <v>0</v>
      </c>
      <c r="O580" s="348">
        <v>0</v>
      </c>
      <c r="P580" s="348">
        <v>0</v>
      </c>
      <c r="Q580" s="348">
        <v>0</v>
      </c>
      <c r="R580" s="348">
        <v>0</v>
      </c>
      <c r="S580" s="348">
        <v>0</v>
      </c>
      <c r="T580" s="44">
        <v>0</v>
      </c>
      <c r="U580" s="348">
        <v>0</v>
      </c>
      <c r="V580" s="348" t="s">
        <v>998</v>
      </c>
      <c r="W580" s="351">
        <v>695.24</v>
      </c>
      <c r="X580" s="348">
        <f>ROUND(G580/100*95.5+0.01,2)</f>
        <v>2147227.89</v>
      </c>
      <c r="Y580" s="351">
        <v>0</v>
      </c>
      <c r="Z580" s="351">
        <v>0</v>
      </c>
      <c r="AA580" s="351">
        <v>0</v>
      </c>
      <c r="AB580" s="351">
        <v>0</v>
      </c>
      <c r="AC580" s="351">
        <v>0</v>
      </c>
      <c r="AD580" s="351">
        <v>0</v>
      </c>
      <c r="AE580" s="351">
        <v>0</v>
      </c>
      <c r="AF580" s="351">
        <v>0</v>
      </c>
      <c r="AG580" s="351">
        <v>0</v>
      </c>
      <c r="AH580" s="351">
        <v>0</v>
      </c>
      <c r="AI580" s="351">
        <v>0</v>
      </c>
      <c r="AJ580" s="351">
        <f t="shared" si="278"/>
        <v>67452.179999999993</v>
      </c>
      <c r="AK580" s="351">
        <f t="shared" si="279"/>
        <v>33726.089999999997</v>
      </c>
      <c r="AL580" s="351">
        <v>0</v>
      </c>
      <c r="AM580" s="352"/>
      <c r="AN580" s="352"/>
    </row>
    <row r="581" spans="1:40" s="19" customFormat="1" ht="9" hidden="1" customHeight="1">
      <c r="A581" s="349">
        <v>193</v>
      </c>
      <c r="B581" s="346" t="s">
        <v>871</v>
      </c>
      <c r="C581" s="348">
        <v>4096.8</v>
      </c>
      <c r="D581" s="343"/>
      <c r="E581" s="348"/>
      <c r="F581" s="348"/>
      <c r="G581" s="348">
        <v>4169667.1</v>
      </c>
      <c r="H581" s="348">
        <f t="shared" si="276"/>
        <v>0</v>
      </c>
      <c r="I581" s="129">
        <v>0</v>
      </c>
      <c r="J581" s="129">
        <v>0</v>
      </c>
      <c r="K581" s="129">
        <v>0</v>
      </c>
      <c r="L581" s="129">
        <v>0</v>
      </c>
      <c r="M581" s="129">
        <v>0</v>
      </c>
      <c r="N581" s="348">
        <v>0</v>
      </c>
      <c r="O581" s="348">
        <v>0</v>
      </c>
      <c r="P581" s="348">
        <v>0</v>
      </c>
      <c r="Q581" s="348">
        <v>0</v>
      </c>
      <c r="R581" s="348">
        <v>0</v>
      </c>
      <c r="S581" s="348">
        <v>0</v>
      </c>
      <c r="T581" s="44">
        <v>0</v>
      </c>
      <c r="U581" s="348">
        <v>0</v>
      </c>
      <c r="V581" s="348" t="s">
        <v>997</v>
      </c>
      <c r="W581" s="351">
        <v>1250.6500000000001</v>
      </c>
      <c r="X581" s="348">
        <f t="shared" si="277"/>
        <v>3982032.08</v>
      </c>
      <c r="Y581" s="351">
        <v>0</v>
      </c>
      <c r="Z581" s="351">
        <v>0</v>
      </c>
      <c r="AA581" s="351">
        <v>0</v>
      </c>
      <c r="AB581" s="351">
        <v>0</v>
      </c>
      <c r="AC581" s="351">
        <v>0</v>
      </c>
      <c r="AD581" s="351">
        <v>0</v>
      </c>
      <c r="AE581" s="351">
        <v>0</v>
      </c>
      <c r="AF581" s="351">
        <v>0</v>
      </c>
      <c r="AG581" s="351">
        <v>0</v>
      </c>
      <c r="AH581" s="351">
        <v>0</v>
      </c>
      <c r="AI581" s="351">
        <v>0</v>
      </c>
      <c r="AJ581" s="351">
        <f t="shared" si="278"/>
        <v>125090.01</v>
      </c>
      <c r="AK581" s="351">
        <f t="shared" si="279"/>
        <v>62545.01</v>
      </c>
      <c r="AL581" s="351">
        <v>0</v>
      </c>
      <c r="AM581" s="352"/>
      <c r="AN581" s="352"/>
    </row>
    <row r="582" spans="1:40" s="19" customFormat="1" ht="9" hidden="1" customHeight="1">
      <c r="A582" s="349">
        <v>194</v>
      </c>
      <c r="B582" s="346" t="s">
        <v>872</v>
      </c>
      <c r="C582" s="348">
        <v>384.5</v>
      </c>
      <c r="D582" s="343"/>
      <c r="E582" s="348"/>
      <c r="F582" s="348"/>
      <c r="G582" s="348">
        <v>1024538.2</v>
      </c>
      <c r="H582" s="348">
        <f t="shared" si="276"/>
        <v>0</v>
      </c>
      <c r="I582" s="129">
        <v>0</v>
      </c>
      <c r="J582" s="129">
        <v>0</v>
      </c>
      <c r="K582" s="129">
        <v>0</v>
      </c>
      <c r="L582" s="129">
        <v>0</v>
      </c>
      <c r="M582" s="129">
        <v>0</v>
      </c>
      <c r="N582" s="348">
        <v>0</v>
      </c>
      <c r="O582" s="348">
        <v>0</v>
      </c>
      <c r="P582" s="348">
        <v>0</v>
      </c>
      <c r="Q582" s="348">
        <v>0</v>
      </c>
      <c r="R582" s="348">
        <v>0</v>
      </c>
      <c r="S582" s="348">
        <v>0</v>
      </c>
      <c r="T582" s="44">
        <v>0</v>
      </c>
      <c r="U582" s="348">
        <v>0</v>
      </c>
      <c r="V582" s="348" t="s">
        <v>997</v>
      </c>
      <c r="W582" s="351">
        <v>307.3</v>
      </c>
      <c r="X582" s="348">
        <f t="shared" si="277"/>
        <v>978433.98</v>
      </c>
      <c r="Y582" s="351">
        <v>0</v>
      </c>
      <c r="Z582" s="351">
        <v>0</v>
      </c>
      <c r="AA582" s="351">
        <v>0</v>
      </c>
      <c r="AB582" s="351">
        <v>0</v>
      </c>
      <c r="AC582" s="351">
        <v>0</v>
      </c>
      <c r="AD582" s="351">
        <v>0</v>
      </c>
      <c r="AE582" s="351">
        <v>0</v>
      </c>
      <c r="AF582" s="351">
        <v>0</v>
      </c>
      <c r="AG582" s="351">
        <v>0</v>
      </c>
      <c r="AH582" s="351">
        <v>0</v>
      </c>
      <c r="AI582" s="351">
        <v>0</v>
      </c>
      <c r="AJ582" s="351">
        <f t="shared" si="278"/>
        <v>30736.15</v>
      </c>
      <c r="AK582" s="351">
        <f t="shared" si="279"/>
        <v>15368.07</v>
      </c>
      <c r="AL582" s="351">
        <v>0</v>
      </c>
      <c r="AM582" s="352"/>
      <c r="AN582" s="352"/>
    </row>
    <row r="583" spans="1:40" s="19" customFormat="1" ht="9" hidden="1" customHeight="1">
      <c r="A583" s="349">
        <v>195</v>
      </c>
      <c r="B583" s="346" t="s">
        <v>873</v>
      </c>
      <c r="C583" s="348">
        <v>458</v>
      </c>
      <c r="D583" s="343"/>
      <c r="E583" s="348"/>
      <c r="F583" s="348"/>
      <c r="G583" s="348">
        <v>1623468</v>
      </c>
      <c r="H583" s="348">
        <f t="shared" si="276"/>
        <v>0</v>
      </c>
      <c r="I583" s="129">
        <v>0</v>
      </c>
      <c r="J583" s="129">
        <v>0</v>
      </c>
      <c r="K583" s="129">
        <v>0</v>
      </c>
      <c r="L583" s="129">
        <v>0</v>
      </c>
      <c r="M583" s="129">
        <v>0</v>
      </c>
      <c r="N583" s="348">
        <v>0</v>
      </c>
      <c r="O583" s="348">
        <v>0</v>
      </c>
      <c r="P583" s="348">
        <v>0</v>
      </c>
      <c r="Q583" s="348">
        <v>0</v>
      </c>
      <c r="R583" s="348">
        <v>0</v>
      </c>
      <c r="S583" s="348">
        <v>0</v>
      </c>
      <c r="T583" s="44">
        <v>0</v>
      </c>
      <c r="U583" s="348">
        <v>0</v>
      </c>
      <c r="V583" s="348" t="s">
        <v>998</v>
      </c>
      <c r="W583" s="351">
        <v>502</v>
      </c>
      <c r="X583" s="348">
        <f t="shared" si="277"/>
        <v>1550411.94</v>
      </c>
      <c r="Y583" s="351">
        <v>0</v>
      </c>
      <c r="Z583" s="351">
        <v>0</v>
      </c>
      <c r="AA583" s="351">
        <v>0</v>
      </c>
      <c r="AB583" s="351">
        <v>0</v>
      </c>
      <c r="AC583" s="351">
        <v>0</v>
      </c>
      <c r="AD583" s="351">
        <v>0</v>
      </c>
      <c r="AE583" s="351">
        <v>0</v>
      </c>
      <c r="AF583" s="351">
        <v>0</v>
      </c>
      <c r="AG583" s="351">
        <v>0</v>
      </c>
      <c r="AH583" s="351">
        <v>0</v>
      </c>
      <c r="AI583" s="351">
        <v>0</v>
      </c>
      <c r="AJ583" s="351">
        <f t="shared" si="278"/>
        <v>48704.04</v>
      </c>
      <c r="AK583" s="351">
        <f t="shared" si="279"/>
        <v>24352.02</v>
      </c>
      <c r="AL583" s="351">
        <v>0</v>
      </c>
      <c r="AM583" s="352"/>
      <c r="AN583" s="352"/>
    </row>
    <row r="584" spans="1:40" s="19" customFormat="1" ht="9" hidden="1" customHeight="1">
      <c r="A584" s="349">
        <v>196</v>
      </c>
      <c r="B584" s="346" t="s">
        <v>874</v>
      </c>
      <c r="C584" s="348">
        <v>371</v>
      </c>
      <c r="D584" s="343"/>
      <c r="E584" s="348"/>
      <c r="F584" s="348"/>
      <c r="G584" s="348">
        <v>1234913.6000000001</v>
      </c>
      <c r="H584" s="348">
        <f t="shared" si="276"/>
        <v>0</v>
      </c>
      <c r="I584" s="129">
        <v>0</v>
      </c>
      <c r="J584" s="129">
        <v>0</v>
      </c>
      <c r="K584" s="129">
        <v>0</v>
      </c>
      <c r="L584" s="129">
        <v>0</v>
      </c>
      <c r="M584" s="129">
        <v>0</v>
      </c>
      <c r="N584" s="348">
        <v>0</v>
      </c>
      <c r="O584" s="348">
        <v>0</v>
      </c>
      <c r="P584" s="348">
        <v>0</v>
      </c>
      <c r="Q584" s="348">
        <v>0</v>
      </c>
      <c r="R584" s="348">
        <v>0</v>
      </c>
      <c r="S584" s="348">
        <v>0</v>
      </c>
      <c r="T584" s="44">
        <v>0</v>
      </c>
      <c r="U584" s="348">
        <v>0</v>
      </c>
      <c r="V584" s="348" t="s">
        <v>997</v>
      </c>
      <c r="W584" s="351">
        <v>370.4</v>
      </c>
      <c r="X584" s="348">
        <f t="shared" si="277"/>
        <v>1179342.49</v>
      </c>
      <c r="Y584" s="351">
        <v>0</v>
      </c>
      <c r="Z584" s="351">
        <v>0</v>
      </c>
      <c r="AA584" s="351">
        <v>0</v>
      </c>
      <c r="AB584" s="351">
        <v>0</v>
      </c>
      <c r="AC584" s="351">
        <v>0</v>
      </c>
      <c r="AD584" s="351">
        <v>0</v>
      </c>
      <c r="AE584" s="351">
        <v>0</v>
      </c>
      <c r="AF584" s="351">
        <v>0</v>
      </c>
      <c r="AG584" s="351">
        <v>0</v>
      </c>
      <c r="AH584" s="351">
        <v>0</v>
      </c>
      <c r="AI584" s="351">
        <v>0</v>
      </c>
      <c r="AJ584" s="351">
        <f t="shared" si="278"/>
        <v>37047.410000000003</v>
      </c>
      <c r="AK584" s="351">
        <f t="shared" si="279"/>
        <v>18523.7</v>
      </c>
      <c r="AL584" s="351">
        <v>0</v>
      </c>
      <c r="AM584" s="352"/>
      <c r="AN584" s="352"/>
    </row>
    <row r="585" spans="1:40" s="19" customFormat="1" ht="33.75" hidden="1" customHeight="1">
      <c r="A585" s="599" t="s">
        <v>298</v>
      </c>
      <c r="B585" s="599"/>
      <c r="C585" s="348">
        <f>SUM(C576:C584)</f>
        <v>14595.8</v>
      </c>
      <c r="D585" s="348"/>
      <c r="E585" s="348"/>
      <c r="F585" s="348"/>
      <c r="G585" s="348">
        <f>SUM(G576:G584)</f>
        <v>21300778.720000003</v>
      </c>
      <c r="H585" s="348">
        <f t="shared" ref="H585:AN585" si="280">SUM(H576:H584)</f>
        <v>1765297.5600000003</v>
      </c>
      <c r="I585" s="348">
        <f t="shared" si="280"/>
        <v>253846.64</v>
      </c>
      <c r="J585" s="348">
        <f t="shared" si="280"/>
        <v>490</v>
      </c>
      <c r="K585" s="348">
        <f t="shared" si="280"/>
        <v>823286.4</v>
      </c>
      <c r="L585" s="348">
        <f t="shared" si="280"/>
        <v>0</v>
      </c>
      <c r="M585" s="348">
        <f t="shared" si="280"/>
        <v>207914.12</v>
      </c>
      <c r="N585" s="348">
        <f t="shared" si="280"/>
        <v>220</v>
      </c>
      <c r="O585" s="348">
        <f t="shared" si="280"/>
        <v>144075.12</v>
      </c>
      <c r="P585" s="348">
        <f t="shared" si="280"/>
        <v>0</v>
      </c>
      <c r="Q585" s="348">
        <f t="shared" si="280"/>
        <v>185239.44</v>
      </c>
      <c r="R585" s="348">
        <f t="shared" si="280"/>
        <v>201</v>
      </c>
      <c r="S585" s="348">
        <f t="shared" si="280"/>
        <v>150935.84</v>
      </c>
      <c r="T585" s="44">
        <f t="shared" si="280"/>
        <v>0</v>
      </c>
      <c r="U585" s="348">
        <f t="shared" si="280"/>
        <v>0</v>
      </c>
      <c r="V585" s="348" t="s">
        <v>387</v>
      </c>
      <c r="W585" s="348">
        <f t="shared" si="280"/>
        <v>5817.5899999999992</v>
      </c>
      <c r="X585" s="348">
        <f t="shared" si="280"/>
        <v>18355406.620000001</v>
      </c>
      <c r="Y585" s="348">
        <f t="shared" si="280"/>
        <v>0</v>
      </c>
      <c r="Z585" s="348">
        <f t="shared" si="280"/>
        <v>0</v>
      </c>
      <c r="AA585" s="348">
        <f t="shared" si="280"/>
        <v>0</v>
      </c>
      <c r="AB585" s="348">
        <f t="shared" si="280"/>
        <v>0</v>
      </c>
      <c r="AC585" s="348">
        <f t="shared" si="280"/>
        <v>0</v>
      </c>
      <c r="AD585" s="348">
        <f t="shared" si="280"/>
        <v>0</v>
      </c>
      <c r="AE585" s="348">
        <f t="shared" si="280"/>
        <v>0</v>
      </c>
      <c r="AF585" s="348">
        <f t="shared" si="280"/>
        <v>0</v>
      </c>
      <c r="AG585" s="348">
        <f t="shared" si="280"/>
        <v>0</v>
      </c>
      <c r="AH585" s="348">
        <f t="shared" si="280"/>
        <v>0</v>
      </c>
      <c r="AI585" s="348">
        <f t="shared" si="280"/>
        <v>221539.51</v>
      </c>
      <c r="AJ585" s="348">
        <f t="shared" si="280"/>
        <v>639023.35999999999</v>
      </c>
      <c r="AK585" s="348">
        <f t="shared" si="280"/>
        <v>319511.67</v>
      </c>
      <c r="AL585" s="348">
        <f t="shared" si="280"/>
        <v>0</v>
      </c>
      <c r="AM585" s="348">
        <f t="shared" si="280"/>
        <v>0</v>
      </c>
      <c r="AN585" s="348">
        <f t="shared" si="280"/>
        <v>0</v>
      </c>
    </row>
    <row r="586" spans="1:40" s="19" customFormat="1" ht="17.25" hidden="1" customHeight="1">
      <c r="A586" s="519" t="s">
        <v>293</v>
      </c>
      <c r="B586" s="520"/>
      <c r="C586" s="520"/>
      <c r="D586" s="520"/>
      <c r="E586" s="520"/>
      <c r="F586" s="520"/>
      <c r="G586" s="520"/>
      <c r="H586" s="520"/>
      <c r="I586" s="520"/>
      <c r="J586" s="520"/>
      <c r="K586" s="520"/>
      <c r="L586" s="520"/>
      <c r="M586" s="520"/>
      <c r="N586" s="520"/>
      <c r="O586" s="520"/>
      <c r="P586" s="520"/>
      <c r="Q586" s="520"/>
      <c r="R586" s="520"/>
      <c r="S586" s="520"/>
      <c r="T586" s="520"/>
      <c r="U586" s="520"/>
      <c r="V586" s="520"/>
      <c r="W586" s="520"/>
      <c r="X586" s="520"/>
      <c r="Y586" s="520"/>
      <c r="Z586" s="520"/>
      <c r="AA586" s="520"/>
      <c r="AB586" s="520"/>
      <c r="AC586" s="520"/>
      <c r="AD586" s="520"/>
      <c r="AE586" s="520"/>
      <c r="AF586" s="520"/>
      <c r="AG586" s="520"/>
      <c r="AH586" s="520"/>
      <c r="AI586" s="520"/>
      <c r="AJ586" s="520"/>
      <c r="AK586" s="520"/>
      <c r="AL586" s="521"/>
      <c r="AM586" s="352"/>
      <c r="AN586" s="352"/>
    </row>
    <row r="587" spans="1:40" s="19" customFormat="1" ht="9" hidden="1" customHeight="1">
      <c r="A587" s="349">
        <v>197</v>
      </c>
      <c r="B587" s="68" t="s">
        <v>879</v>
      </c>
      <c r="C587" s="348">
        <v>347.9</v>
      </c>
      <c r="D587" s="343"/>
      <c r="E587" s="348"/>
      <c r="F587" s="348"/>
      <c r="G587" s="348">
        <v>1188495</v>
      </c>
      <c r="H587" s="348">
        <f t="shared" ref="H587" si="281">I587+K587+M587+O587+Q587+S587</f>
        <v>0</v>
      </c>
      <c r="I587" s="129">
        <v>0</v>
      </c>
      <c r="J587" s="129">
        <v>0</v>
      </c>
      <c r="K587" s="129">
        <v>0</v>
      </c>
      <c r="L587" s="129">
        <v>0</v>
      </c>
      <c r="M587" s="129">
        <v>0</v>
      </c>
      <c r="N587" s="348">
        <v>0</v>
      </c>
      <c r="O587" s="348">
        <v>0</v>
      </c>
      <c r="P587" s="348">
        <v>0</v>
      </c>
      <c r="Q587" s="348">
        <v>0</v>
      </c>
      <c r="R587" s="348">
        <v>0</v>
      </c>
      <c r="S587" s="348">
        <v>0</v>
      </c>
      <c r="T587" s="44">
        <v>0</v>
      </c>
      <c r="U587" s="348">
        <v>0</v>
      </c>
      <c r="V587" s="348" t="s">
        <v>998</v>
      </c>
      <c r="W587" s="351">
        <v>367.5</v>
      </c>
      <c r="X587" s="348">
        <f>ROUND(G587/100*95.5-0.01,2)</f>
        <v>1135012.72</v>
      </c>
      <c r="Y587" s="351">
        <v>0</v>
      </c>
      <c r="Z587" s="351">
        <v>0</v>
      </c>
      <c r="AA587" s="351">
        <v>0</v>
      </c>
      <c r="AB587" s="351">
        <v>0</v>
      </c>
      <c r="AC587" s="351">
        <v>0</v>
      </c>
      <c r="AD587" s="351">
        <v>0</v>
      </c>
      <c r="AE587" s="351">
        <v>0</v>
      </c>
      <c r="AF587" s="351">
        <v>0</v>
      </c>
      <c r="AG587" s="351">
        <v>0</v>
      </c>
      <c r="AH587" s="351">
        <v>0</v>
      </c>
      <c r="AI587" s="351">
        <v>0</v>
      </c>
      <c r="AJ587" s="351">
        <f t="shared" ref="AJ587" si="282">ROUND(G587/100*3,2)</f>
        <v>35654.85</v>
      </c>
      <c r="AK587" s="351">
        <f t="shared" ref="AK587" si="283">ROUND(G587/100*1.5,2)</f>
        <v>17827.43</v>
      </c>
      <c r="AL587" s="351">
        <v>0</v>
      </c>
      <c r="AM587" s="352"/>
      <c r="AN587" s="352"/>
    </row>
    <row r="588" spans="1:40" s="19" customFormat="1" ht="36" hidden="1" customHeight="1">
      <c r="A588" s="599" t="s">
        <v>299</v>
      </c>
      <c r="B588" s="599"/>
      <c r="C588" s="348">
        <f>SUM(C587)</f>
        <v>347.9</v>
      </c>
      <c r="D588" s="248"/>
      <c r="E588" s="348"/>
      <c r="F588" s="348"/>
      <c r="G588" s="348">
        <f>SUM(G587)</f>
        <v>1188495</v>
      </c>
      <c r="H588" s="348">
        <f t="shared" ref="H588:AL588" si="284">SUM(H587)</f>
        <v>0</v>
      </c>
      <c r="I588" s="348">
        <f t="shared" si="284"/>
        <v>0</v>
      </c>
      <c r="J588" s="348">
        <f t="shared" si="284"/>
        <v>0</v>
      </c>
      <c r="K588" s="348">
        <f t="shared" si="284"/>
        <v>0</v>
      </c>
      <c r="L588" s="348">
        <f t="shared" si="284"/>
        <v>0</v>
      </c>
      <c r="M588" s="348">
        <f t="shared" si="284"/>
        <v>0</v>
      </c>
      <c r="N588" s="348">
        <f t="shared" si="284"/>
        <v>0</v>
      </c>
      <c r="O588" s="348">
        <f t="shared" si="284"/>
        <v>0</v>
      </c>
      <c r="P588" s="348">
        <f t="shared" si="284"/>
        <v>0</v>
      </c>
      <c r="Q588" s="348">
        <f t="shared" si="284"/>
        <v>0</v>
      </c>
      <c r="R588" s="348">
        <f t="shared" si="284"/>
        <v>0</v>
      </c>
      <c r="S588" s="348">
        <f t="shared" si="284"/>
        <v>0</v>
      </c>
      <c r="T588" s="44">
        <f t="shared" si="284"/>
        <v>0</v>
      </c>
      <c r="U588" s="348">
        <f t="shared" si="284"/>
        <v>0</v>
      </c>
      <c r="V588" s="348" t="s">
        <v>387</v>
      </c>
      <c r="W588" s="348">
        <f t="shared" si="284"/>
        <v>367.5</v>
      </c>
      <c r="X588" s="348">
        <f t="shared" si="284"/>
        <v>1135012.72</v>
      </c>
      <c r="Y588" s="348">
        <f t="shared" si="284"/>
        <v>0</v>
      </c>
      <c r="Z588" s="348">
        <f t="shared" si="284"/>
        <v>0</v>
      </c>
      <c r="AA588" s="348">
        <f t="shared" si="284"/>
        <v>0</v>
      </c>
      <c r="AB588" s="348">
        <f t="shared" si="284"/>
        <v>0</v>
      </c>
      <c r="AC588" s="348">
        <f t="shared" si="284"/>
        <v>0</v>
      </c>
      <c r="AD588" s="348">
        <f t="shared" si="284"/>
        <v>0</v>
      </c>
      <c r="AE588" s="348">
        <f t="shared" si="284"/>
        <v>0</v>
      </c>
      <c r="AF588" s="348">
        <f t="shared" si="284"/>
        <v>0</v>
      </c>
      <c r="AG588" s="348">
        <f t="shared" si="284"/>
        <v>0</v>
      </c>
      <c r="AH588" s="348">
        <f t="shared" si="284"/>
        <v>0</v>
      </c>
      <c r="AI588" s="348">
        <f t="shared" si="284"/>
        <v>0</v>
      </c>
      <c r="AJ588" s="348">
        <f t="shared" si="284"/>
        <v>35654.85</v>
      </c>
      <c r="AK588" s="348">
        <f t="shared" si="284"/>
        <v>17827.43</v>
      </c>
      <c r="AL588" s="348">
        <f t="shared" si="284"/>
        <v>0</v>
      </c>
      <c r="AM588" s="352"/>
      <c r="AN588" s="352"/>
    </row>
    <row r="589" spans="1:40" s="19" customFormat="1" ht="15.75" hidden="1" customHeight="1">
      <c r="A589" s="519" t="s">
        <v>295</v>
      </c>
      <c r="B589" s="520"/>
      <c r="C589" s="520"/>
      <c r="D589" s="520"/>
      <c r="E589" s="520"/>
      <c r="F589" s="520"/>
      <c r="G589" s="520"/>
      <c r="H589" s="520"/>
      <c r="I589" s="520"/>
      <c r="J589" s="520"/>
      <c r="K589" s="520"/>
      <c r="L589" s="520"/>
      <c r="M589" s="520"/>
      <c r="N589" s="520"/>
      <c r="O589" s="520"/>
      <c r="P589" s="520"/>
      <c r="Q589" s="520"/>
      <c r="R589" s="520"/>
      <c r="S589" s="520"/>
      <c r="T589" s="520"/>
      <c r="U589" s="520"/>
      <c r="V589" s="520"/>
      <c r="W589" s="520"/>
      <c r="X589" s="520"/>
      <c r="Y589" s="520"/>
      <c r="Z589" s="520"/>
      <c r="AA589" s="520"/>
      <c r="AB589" s="520"/>
      <c r="AC589" s="520"/>
      <c r="AD589" s="520"/>
      <c r="AE589" s="520"/>
      <c r="AF589" s="520"/>
      <c r="AG589" s="520"/>
      <c r="AH589" s="520"/>
      <c r="AI589" s="520"/>
      <c r="AJ589" s="520"/>
      <c r="AK589" s="520"/>
      <c r="AL589" s="521"/>
      <c r="AM589" s="352"/>
      <c r="AN589" s="352"/>
    </row>
    <row r="590" spans="1:40" s="19" customFormat="1" ht="9" hidden="1" customHeight="1">
      <c r="A590" s="349">
        <v>198</v>
      </c>
      <c r="B590" s="346" t="s">
        <v>877</v>
      </c>
      <c r="C590" s="348">
        <v>994.1</v>
      </c>
      <c r="D590" s="343"/>
      <c r="E590" s="348"/>
      <c r="F590" s="348"/>
      <c r="G590" s="348">
        <v>3568395.6</v>
      </c>
      <c r="H590" s="348">
        <f t="shared" ref="H590" si="285">I590+K590+M590+O590+Q590+S590</f>
        <v>0</v>
      </c>
      <c r="I590" s="129">
        <v>0</v>
      </c>
      <c r="J590" s="129">
        <v>0</v>
      </c>
      <c r="K590" s="129">
        <v>0</v>
      </c>
      <c r="L590" s="129">
        <v>0</v>
      </c>
      <c r="M590" s="129">
        <v>0</v>
      </c>
      <c r="N590" s="348">
        <v>0</v>
      </c>
      <c r="O590" s="348">
        <v>0</v>
      </c>
      <c r="P590" s="348">
        <v>0</v>
      </c>
      <c r="Q590" s="348">
        <v>0</v>
      </c>
      <c r="R590" s="348">
        <v>0</v>
      </c>
      <c r="S590" s="348">
        <v>0</v>
      </c>
      <c r="T590" s="44">
        <v>0</v>
      </c>
      <c r="U590" s="348">
        <v>0</v>
      </c>
      <c r="V590" s="348" t="s">
        <v>998</v>
      </c>
      <c r="W590" s="351">
        <v>1103.4000000000001</v>
      </c>
      <c r="X590" s="348">
        <f t="shared" ref="X590" si="286">ROUND(G590/100*95.5,2)</f>
        <v>3407817.8</v>
      </c>
      <c r="Y590" s="351">
        <v>0</v>
      </c>
      <c r="Z590" s="351">
        <v>0</v>
      </c>
      <c r="AA590" s="351">
        <v>0</v>
      </c>
      <c r="AB590" s="351">
        <v>0</v>
      </c>
      <c r="AC590" s="351">
        <v>0</v>
      </c>
      <c r="AD590" s="351">
        <v>0</v>
      </c>
      <c r="AE590" s="351">
        <v>0</v>
      </c>
      <c r="AF590" s="351">
        <v>0</v>
      </c>
      <c r="AG590" s="351">
        <v>0</v>
      </c>
      <c r="AH590" s="351">
        <v>0</v>
      </c>
      <c r="AI590" s="351">
        <v>0</v>
      </c>
      <c r="AJ590" s="351">
        <f t="shared" ref="AJ590" si="287">ROUND(G590/100*3,2)</f>
        <v>107051.87</v>
      </c>
      <c r="AK590" s="351">
        <f t="shared" ref="AK590" si="288">ROUND(G590/100*1.5,2)</f>
        <v>53525.93</v>
      </c>
      <c r="AL590" s="351">
        <v>0</v>
      </c>
      <c r="AM590" s="352"/>
      <c r="AN590" s="352"/>
    </row>
    <row r="591" spans="1:40" s="19" customFormat="1" ht="34.5" hidden="1" customHeight="1">
      <c r="A591" s="599" t="s">
        <v>301</v>
      </c>
      <c r="B591" s="599"/>
      <c r="C591" s="348">
        <f>SUM(C590)</f>
        <v>994.1</v>
      </c>
      <c r="D591" s="248"/>
      <c r="E591" s="348"/>
      <c r="F591" s="348"/>
      <c r="G591" s="348">
        <f>SUM(G590)</f>
        <v>3568395.6</v>
      </c>
      <c r="H591" s="348">
        <f t="shared" ref="H591:AL591" si="289">SUM(H590)</f>
        <v>0</v>
      </c>
      <c r="I591" s="348">
        <f t="shared" si="289"/>
        <v>0</v>
      </c>
      <c r="J591" s="348">
        <f t="shared" si="289"/>
        <v>0</v>
      </c>
      <c r="K591" s="348">
        <f t="shared" si="289"/>
        <v>0</v>
      </c>
      <c r="L591" s="348">
        <f t="shared" si="289"/>
        <v>0</v>
      </c>
      <c r="M591" s="348">
        <f t="shared" si="289"/>
        <v>0</v>
      </c>
      <c r="N591" s="348">
        <f t="shared" si="289"/>
        <v>0</v>
      </c>
      <c r="O591" s="348">
        <f t="shared" si="289"/>
        <v>0</v>
      </c>
      <c r="P591" s="348">
        <f t="shared" si="289"/>
        <v>0</v>
      </c>
      <c r="Q591" s="348">
        <f t="shared" si="289"/>
        <v>0</v>
      </c>
      <c r="R591" s="348">
        <f t="shared" si="289"/>
        <v>0</v>
      </c>
      <c r="S591" s="348">
        <f t="shared" si="289"/>
        <v>0</v>
      </c>
      <c r="T591" s="44">
        <f t="shared" si="289"/>
        <v>0</v>
      </c>
      <c r="U591" s="348">
        <f t="shared" si="289"/>
        <v>0</v>
      </c>
      <c r="V591" s="348" t="s">
        <v>387</v>
      </c>
      <c r="W591" s="348">
        <f t="shared" si="289"/>
        <v>1103.4000000000001</v>
      </c>
      <c r="X591" s="348">
        <f t="shared" si="289"/>
        <v>3407817.8</v>
      </c>
      <c r="Y591" s="348">
        <f t="shared" si="289"/>
        <v>0</v>
      </c>
      <c r="Z591" s="348">
        <f t="shared" si="289"/>
        <v>0</v>
      </c>
      <c r="AA591" s="348">
        <f t="shared" si="289"/>
        <v>0</v>
      </c>
      <c r="AB591" s="348">
        <f t="shared" si="289"/>
        <v>0</v>
      </c>
      <c r="AC591" s="348">
        <f t="shared" si="289"/>
        <v>0</v>
      </c>
      <c r="AD591" s="348">
        <f t="shared" si="289"/>
        <v>0</v>
      </c>
      <c r="AE591" s="348">
        <f t="shared" si="289"/>
        <v>0</v>
      </c>
      <c r="AF591" s="348">
        <f t="shared" si="289"/>
        <v>0</v>
      </c>
      <c r="AG591" s="348">
        <f t="shared" si="289"/>
        <v>0</v>
      </c>
      <c r="AH591" s="348">
        <f t="shared" si="289"/>
        <v>0</v>
      </c>
      <c r="AI591" s="348">
        <f t="shared" si="289"/>
        <v>0</v>
      </c>
      <c r="AJ591" s="348">
        <f t="shared" si="289"/>
        <v>107051.87</v>
      </c>
      <c r="AK591" s="348">
        <f t="shared" si="289"/>
        <v>53525.93</v>
      </c>
      <c r="AL591" s="348">
        <f t="shared" si="289"/>
        <v>0</v>
      </c>
      <c r="AM591" s="352"/>
      <c r="AN591" s="352"/>
    </row>
    <row r="592" spans="1:40" s="19" customFormat="1" ht="13.5" hidden="1" customHeight="1">
      <c r="A592" s="615" t="s">
        <v>893</v>
      </c>
      <c r="B592" s="616"/>
      <c r="C592" s="616"/>
      <c r="D592" s="616"/>
      <c r="E592" s="616"/>
      <c r="F592" s="616"/>
      <c r="G592" s="616"/>
      <c r="H592" s="616"/>
      <c r="I592" s="616"/>
      <c r="J592" s="616"/>
      <c r="K592" s="616"/>
      <c r="L592" s="616"/>
      <c r="M592" s="616"/>
      <c r="N592" s="616"/>
      <c r="O592" s="616"/>
      <c r="P592" s="616"/>
      <c r="Q592" s="616"/>
      <c r="R592" s="616"/>
      <c r="S592" s="616"/>
      <c r="T592" s="616"/>
      <c r="U592" s="616"/>
      <c r="V592" s="616"/>
      <c r="W592" s="616"/>
      <c r="X592" s="616"/>
      <c r="Y592" s="616"/>
      <c r="Z592" s="616"/>
      <c r="AA592" s="616"/>
      <c r="AB592" s="616"/>
      <c r="AC592" s="616"/>
      <c r="AD592" s="616"/>
      <c r="AE592" s="616"/>
      <c r="AF592" s="616"/>
      <c r="AG592" s="616"/>
      <c r="AH592" s="616"/>
      <c r="AI592" s="616"/>
      <c r="AJ592" s="616"/>
      <c r="AK592" s="616"/>
      <c r="AL592" s="617"/>
      <c r="AM592" s="352"/>
      <c r="AN592" s="352"/>
    </row>
    <row r="593" spans="1:40" s="19" customFormat="1" ht="9" hidden="1" customHeight="1">
      <c r="A593" s="90">
        <v>199</v>
      </c>
      <c r="B593" s="346" t="s">
        <v>894</v>
      </c>
      <c r="C593" s="348">
        <v>601.1</v>
      </c>
      <c r="D593" s="343"/>
      <c r="E593" s="348"/>
      <c r="F593" s="348"/>
      <c r="G593" s="348">
        <v>1513512</v>
      </c>
      <c r="H593" s="348">
        <f t="shared" ref="H593" si="290">I593+K593+M593+O593+Q593+S593</f>
        <v>0</v>
      </c>
      <c r="I593" s="129">
        <v>0</v>
      </c>
      <c r="J593" s="129">
        <v>0</v>
      </c>
      <c r="K593" s="129">
        <v>0</v>
      </c>
      <c r="L593" s="129">
        <v>0</v>
      </c>
      <c r="M593" s="129">
        <v>0</v>
      </c>
      <c r="N593" s="348">
        <v>0</v>
      </c>
      <c r="O593" s="348">
        <v>0</v>
      </c>
      <c r="P593" s="348">
        <v>0</v>
      </c>
      <c r="Q593" s="348">
        <v>0</v>
      </c>
      <c r="R593" s="348">
        <v>0</v>
      </c>
      <c r="S593" s="348">
        <v>0</v>
      </c>
      <c r="T593" s="44">
        <v>0</v>
      </c>
      <c r="U593" s="348">
        <v>0</v>
      </c>
      <c r="V593" s="348" t="s">
        <v>998</v>
      </c>
      <c r="W593" s="16">
        <v>468</v>
      </c>
      <c r="X593" s="348">
        <f t="shared" ref="X593" si="291">ROUND(G593/100*95.5,2)</f>
        <v>1445403.96</v>
      </c>
      <c r="Y593" s="351">
        <v>0</v>
      </c>
      <c r="Z593" s="351">
        <v>0</v>
      </c>
      <c r="AA593" s="351">
        <v>0</v>
      </c>
      <c r="AB593" s="351">
        <v>0</v>
      </c>
      <c r="AC593" s="351">
        <v>0</v>
      </c>
      <c r="AD593" s="351">
        <v>0</v>
      </c>
      <c r="AE593" s="351">
        <v>0</v>
      </c>
      <c r="AF593" s="351">
        <v>0</v>
      </c>
      <c r="AG593" s="351">
        <v>0</v>
      </c>
      <c r="AH593" s="351">
        <v>0</v>
      </c>
      <c r="AI593" s="351">
        <v>0</v>
      </c>
      <c r="AJ593" s="351">
        <f t="shared" ref="AJ593" si="292">ROUND(G593/100*3,2)</f>
        <v>45405.36</v>
      </c>
      <c r="AK593" s="351">
        <f t="shared" ref="AK593" si="293">ROUND(G593/100*1.5,2)</f>
        <v>22702.68</v>
      </c>
      <c r="AL593" s="351">
        <v>0</v>
      </c>
      <c r="AM593" s="352"/>
      <c r="AN593" s="352"/>
    </row>
    <row r="594" spans="1:40" s="19" customFormat="1" ht="25.5" hidden="1" customHeight="1">
      <c r="A594" s="607" t="s">
        <v>895</v>
      </c>
      <c r="B594" s="607"/>
      <c r="C594" s="92">
        <f>SUM(C593)</f>
        <v>601.1</v>
      </c>
      <c r="D594" s="263"/>
      <c r="E594" s="348"/>
      <c r="F594" s="348"/>
      <c r="G594" s="92">
        <f>SUM(G593)</f>
        <v>1513512</v>
      </c>
      <c r="H594" s="92">
        <f t="shared" ref="H594:AL594" si="294">SUM(H593)</f>
        <v>0</v>
      </c>
      <c r="I594" s="92">
        <f t="shared" si="294"/>
        <v>0</v>
      </c>
      <c r="J594" s="92">
        <f t="shared" si="294"/>
        <v>0</v>
      </c>
      <c r="K594" s="92">
        <f t="shared" si="294"/>
        <v>0</v>
      </c>
      <c r="L594" s="92">
        <f t="shared" si="294"/>
        <v>0</v>
      </c>
      <c r="M594" s="92">
        <f t="shared" si="294"/>
        <v>0</v>
      </c>
      <c r="N594" s="92">
        <f t="shared" si="294"/>
        <v>0</v>
      </c>
      <c r="O594" s="92">
        <f t="shared" si="294"/>
        <v>0</v>
      </c>
      <c r="P594" s="92">
        <f t="shared" si="294"/>
        <v>0</v>
      </c>
      <c r="Q594" s="92">
        <f t="shared" si="294"/>
        <v>0</v>
      </c>
      <c r="R594" s="92">
        <f t="shared" si="294"/>
        <v>0</v>
      </c>
      <c r="S594" s="92">
        <f t="shared" si="294"/>
        <v>0</v>
      </c>
      <c r="T594" s="93">
        <f t="shared" si="294"/>
        <v>0</v>
      </c>
      <c r="U594" s="92">
        <f t="shared" si="294"/>
        <v>0</v>
      </c>
      <c r="V594" s="348" t="s">
        <v>387</v>
      </c>
      <c r="W594" s="92">
        <f t="shared" si="294"/>
        <v>468</v>
      </c>
      <c r="X594" s="92">
        <f t="shared" si="294"/>
        <v>1445403.96</v>
      </c>
      <c r="Y594" s="92">
        <f t="shared" si="294"/>
        <v>0</v>
      </c>
      <c r="Z594" s="92">
        <f t="shared" si="294"/>
        <v>0</v>
      </c>
      <c r="AA594" s="92">
        <f t="shared" si="294"/>
        <v>0</v>
      </c>
      <c r="AB594" s="92">
        <f t="shared" si="294"/>
        <v>0</v>
      </c>
      <c r="AC594" s="92">
        <f t="shared" si="294"/>
        <v>0</v>
      </c>
      <c r="AD594" s="92">
        <f t="shared" si="294"/>
        <v>0</v>
      </c>
      <c r="AE594" s="92">
        <f t="shared" si="294"/>
        <v>0</v>
      </c>
      <c r="AF594" s="92">
        <f t="shared" si="294"/>
        <v>0</v>
      </c>
      <c r="AG594" s="92">
        <f t="shared" si="294"/>
        <v>0</v>
      </c>
      <c r="AH594" s="92">
        <f t="shared" si="294"/>
        <v>0</v>
      </c>
      <c r="AI594" s="92">
        <f t="shared" si="294"/>
        <v>0</v>
      </c>
      <c r="AJ594" s="92">
        <f t="shared" si="294"/>
        <v>45405.36</v>
      </c>
      <c r="AK594" s="92">
        <f t="shared" si="294"/>
        <v>22702.68</v>
      </c>
      <c r="AL594" s="92">
        <f t="shared" si="294"/>
        <v>0</v>
      </c>
      <c r="AM594" s="352"/>
      <c r="AN594" s="352"/>
    </row>
    <row r="595" spans="1:40" s="19" customFormat="1" ht="12" hidden="1" customHeight="1">
      <c r="A595" s="615" t="s">
        <v>1019</v>
      </c>
      <c r="B595" s="616"/>
      <c r="C595" s="616"/>
      <c r="D595" s="616"/>
      <c r="E595" s="616"/>
      <c r="F595" s="616"/>
      <c r="G595" s="616"/>
      <c r="H595" s="616"/>
      <c r="I595" s="616"/>
      <c r="J595" s="616"/>
      <c r="K595" s="616"/>
      <c r="L595" s="616"/>
      <c r="M595" s="616"/>
      <c r="N595" s="616"/>
      <c r="O595" s="616"/>
      <c r="P595" s="616"/>
      <c r="Q595" s="616"/>
      <c r="R595" s="616"/>
      <c r="S595" s="616"/>
      <c r="T595" s="616"/>
      <c r="U595" s="616"/>
      <c r="V595" s="616"/>
      <c r="W595" s="616"/>
      <c r="X595" s="616"/>
      <c r="Y595" s="616"/>
      <c r="Z595" s="616"/>
      <c r="AA595" s="616"/>
      <c r="AB595" s="616"/>
      <c r="AC595" s="616"/>
      <c r="AD595" s="616"/>
      <c r="AE595" s="616"/>
      <c r="AF595" s="616"/>
      <c r="AG595" s="616"/>
      <c r="AH595" s="616"/>
      <c r="AI595" s="616"/>
      <c r="AJ595" s="616"/>
      <c r="AK595" s="616"/>
      <c r="AL595" s="617"/>
      <c r="AM595" s="352"/>
      <c r="AN595" s="352"/>
    </row>
    <row r="596" spans="1:40" s="19" customFormat="1" ht="9" hidden="1" customHeight="1">
      <c r="A596" s="90">
        <v>200</v>
      </c>
      <c r="B596" s="346" t="s">
        <v>887</v>
      </c>
      <c r="C596" s="348">
        <v>3105.5</v>
      </c>
      <c r="D596" s="343"/>
      <c r="E596" s="348"/>
      <c r="F596" s="348"/>
      <c r="G596" s="348">
        <v>2933920</v>
      </c>
      <c r="H596" s="348">
        <f t="shared" ref="H596:H601" si="295">I596+K596+M596+O596+Q596+S596</f>
        <v>0</v>
      </c>
      <c r="I596" s="129">
        <v>0</v>
      </c>
      <c r="J596" s="129">
        <v>0</v>
      </c>
      <c r="K596" s="129">
        <v>0</v>
      </c>
      <c r="L596" s="129">
        <v>0</v>
      </c>
      <c r="M596" s="129">
        <v>0</v>
      </c>
      <c r="N596" s="348">
        <v>0</v>
      </c>
      <c r="O596" s="348">
        <v>0</v>
      </c>
      <c r="P596" s="348">
        <v>0</v>
      </c>
      <c r="Q596" s="348">
        <v>0</v>
      </c>
      <c r="R596" s="348">
        <v>0</v>
      </c>
      <c r="S596" s="348">
        <v>0</v>
      </c>
      <c r="T596" s="44">
        <v>0</v>
      </c>
      <c r="U596" s="348">
        <v>0</v>
      </c>
      <c r="V596" s="348" t="s">
        <v>997</v>
      </c>
      <c r="W596" s="16">
        <v>880</v>
      </c>
      <c r="X596" s="348">
        <f t="shared" ref="X596:X601" si="296">ROUND(G596/100*95.5,2)</f>
        <v>2801893.6</v>
      </c>
      <c r="Y596" s="351">
        <v>0</v>
      </c>
      <c r="Z596" s="351">
        <v>0</v>
      </c>
      <c r="AA596" s="351">
        <v>0</v>
      </c>
      <c r="AB596" s="351">
        <v>0</v>
      </c>
      <c r="AC596" s="351">
        <v>0</v>
      </c>
      <c r="AD596" s="351">
        <v>0</v>
      </c>
      <c r="AE596" s="351">
        <v>0</v>
      </c>
      <c r="AF596" s="351">
        <v>0</v>
      </c>
      <c r="AG596" s="351">
        <v>0</v>
      </c>
      <c r="AH596" s="351">
        <v>0</v>
      </c>
      <c r="AI596" s="351">
        <v>0</v>
      </c>
      <c r="AJ596" s="351">
        <f t="shared" ref="AJ596:AJ601" si="297">ROUND(G596/100*3,2)</f>
        <v>88017.600000000006</v>
      </c>
      <c r="AK596" s="351">
        <f t="shared" ref="AK596:AK601" si="298">ROUND(G596/100*1.5,2)</f>
        <v>44008.800000000003</v>
      </c>
      <c r="AL596" s="351">
        <v>0</v>
      </c>
      <c r="AM596" s="352"/>
      <c r="AN596" s="352"/>
    </row>
    <row r="597" spans="1:40" s="19" customFormat="1" ht="9" hidden="1" customHeight="1">
      <c r="A597" s="90">
        <v>201</v>
      </c>
      <c r="B597" s="346" t="s">
        <v>888</v>
      </c>
      <c r="C597" s="348">
        <v>3225.6</v>
      </c>
      <c r="D597" s="343"/>
      <c r="E597" s="348"/>
      <c r="F597" s="348"/>
      <c r="G597" s="348">
        <v>2817230</v>
      </c>
      <c r="H597" s="348">
        <f t="shared" si="295"/>
        <v>0</v>
      </c>
      <c r="I597" s="129">
        <v>0</v>
      </c>
      <c r="J597" s="129">
        <v>0</v>
      </c>
      <c r="K597" s="129">
        <v>0</v>
      </c>
      <c r="L597" s="129">
        <v>0</v>
      </c>
      <c r="M597" s="129">
        <v>0</v>
      </c>
      <c r="N597" s="348">
        <v>0</v>
      </c>
      <c r="O597" s="348">
        <v>0</v>
      </c>
      <c r="P597" s="348">
        <v>0</v>
      </c>
      <c r="Q597" s="348">
        <v>0</v>
      </c>
      <c r="R597" s="348">
        <v>0</v>
      </c>
      <c r="S597" s="348">
        <v>0</v>
      </c>
      <c r="T597" s="44">
        <v>0</v>
      </c>
      <c r="U597" s="348">
        <v>0</v>
      </c>
      <c r="V597" s="348" t="s">
        <v>997</v>
      </c>
      <c r="W597" s="16">
        <v>845</v>
      </c>
      <c r="X597" s="348">
        <f t="shared" si="296"/>
        <v>2690454.65</v>
      </c>
      <c r="Y597" s="351">
        <v>0</v>
      </c>
      <c r="Z597" s="351">
        <v>0</v>
      </c>
      <c r="AA597" s="351">
        <v>0</v>
      </c>
      <c r="AB597" s="351">
        <v>0</v>
      </c>
      <c r="AC597" s="351">
        <v>0</v>
      </c>
      <c r="AD597" s="351">
        <v>0</v>
      </c>
      <c r="AE597" s="351">
        <v>0</v>
      </c>
      <c r="AF597" s="351">
        <v>0</v>
      </c>
      <c r="AG597" s="351">
        <v>0</v>
      </c>
      <c r="AH597" s="351">
        <v>0</v>
      </c>
      <c r="AI597" s="351">
        <v>0</v>
      </c>
      <c r="AJ597" s="351">
        <f t="shared" si="297"/>
        <v>84516.9</v>
      </c>
      <c r="AK597" s="351">
        <f t="shared" si="298"/>
        <v>42258.45</v>
      </c>
      <c r="AL597" s="351">
        <v>0</v>
      </c>
      <c r="AM597" s="352"/>
      <c r="AN597" s="352"/>
    </row>
    <row r="598" spans="1:40" s="19" customFormat="1" ht="9" hidden="1" customHeight="1">
      <c r="A598" s="90">
        <v>202</v>
      </c>
      <c r="B598" s="346" t="s">
        <v>889</v>
      </c>
      <c r="C598" s="348">
        <v>2592.1999999999998</v>
      </c>
      <c r="D598" s="343"/>
      <c r="E598" s="348"/>
      <c r="F598" s="348"/>
      <c r="G598" s="348">
        <v>2817230</v>
      </c>
      <c r="H598" s="348">
        <f t="shared" si="295"/>
        <v>0</v>
      </c>
      <c r="I598" s="129">
        <v>0</v>
      </c>
      <c r="J598" s="129">
        <v>0</v>
      </c>
      <c r="K598" s="129">
        <v>0</v>
      </c>
      <c r="L598" s="129">
        <v>0</v>
      </c>
      <c r="M598" s="129">
        <v>0</v>
      </c>
      <c r="N598" s="348">
        <v>0</v>
      </c>
      <c r="O598" s="348">
        <v>0</v>
      </c>
      <c r="P598" s="348">
        <v>0</v>
      </c>
      <c r="Q598" s="348">
        <v>0</v>
      </c>
      <c r="R598" s="348">
        <v>0</v>
      </c>
      <c r="S598" s="348">
        <v>0</v>
      </c>
      <c r="T598" s="44">
        <v>0</v>
      </c>
      <c r="U598" s="348">
        <v>0</v>
      </c>
      <c r="V598" s="348" t="s">
        <v>997</v>
      </c>
      <c r="W598" s="16">
        <v>845</v>
      </c>
      <c r="X598" s="348">
        <f t="shared" si="296"/>
        <v>2690454.65</v>
      </c>
      <c r="Y598" s="351">
        <v>0</v>
      </c>
      <c r="Z598" s="351">
        <v>0</v>
      </c>
      <c r="AA598" s="351">
        <v>0</v>
      </c>
      <c r="AB598" s="351">
        <v>0</v>
      </c>
      <c r="AC598" s="351">
        <v>0</v>
      </c>
      <c r="AD598" s="351">
        <v>0</v>
      </c>
      <c r="AE598" s="351">
        <v>0</v>
      </c>
      <c r="AF598" s="351">
        <v>0</v>
      </c>
      <c r="AG598" s="351">
        <v>0</v>
      </c>
      <c r="AH598" s="351">
        <v>0</v>
      </c>
      <c r="AI598" s="351">
        <v>0</v>
      </c>
      <c r="AJ598" s="351">
        <f t="shared" si="297"/>
        <v>84516.9</v>
      </c>
      <c r="AK598" s="351">
        <f t="shared" si="298"/>
        <v>42258.45</v>
      </c>
      <c r="AL598" s="351">
        <v>0</v>
      </c>
      <c r="AM598" s="352"/>
      <c r="AN598" s="352"/>
    </row>
    <row r="599" spans="1:40" s="19" customFormat="1" ht="9" hidden="1" customHeight="1">
      <c r="A599" s="90">
        <v>203</v>
      </c>
      <c r="B599" s="346" t="s">
        <v>890</v>
      </c>
      <c r="C599" s="348">
        <v>3042.2</v>
      </c>
      <c r="D599" s="343"/>
      <c r="E599" s="348"/>
      <c r="F599" s="348"/>
      <c r="G599" s="348">
        <v>3127292</v>
      </c>
      <c r="H599" s="348">
        <f t="shared" si="295"/>
        <v>0</v>
      </c>
      <c r="I599" s="129">
        <v>0</v>
      </c>
      <c r="J599" s="129">
        <v>0</v>
      </c>
      <c r="K599" s="129">
        <v>0</v>
      </c>
      <c r="L599" s="129">
        <v>0</v>
      </c>
      <c r="M599" s="129">
        <v>0</v>
      </c>
      <c r="N599" s="348">
        <v>0</v>
      </c>
      <c r="O599" s="348">
        <v>0</v>
      </c>
      <c r="P599" s="348">
        <v>0</v>
      </c>
      <c r="Q599" s="348">
        <v>0</v>
      </c>
      <c r="R599" s="348">
        <v>0</v>
      </c>
      <c r="S599" s="348">
        <v>0</v>
      </c>
      <c r="T599" s="44">
        <v>0</v>
      </c>
      <c r="U599" s="348">
        <v>0</v>
      </c>
      <c r="V599" s="348" t="s">
        <v>997</v>
      </c>
      <c r="W599" s="16">
        <v>938</v>
      </c>
      <c r="X599" s="348">
        <f t="shared" si="296"/>
        <v>2986563.86</v>
      </c>
      <c r="Y599" s="351">
        <v>0</v>
      </c>
      <c r="Z599" s="351">
        <v>0</v>
      </c>
      <c r="AA599" s="351">
        <v>0</v>
      </c>
      <c r="AB599" s="351">
        <v>0</v>
      </c>
      <c r="AC599" s="351">
        <v>0</v>
      </c>
      <c r="AD599" s="351">
        <v>0</v>
      </c>
      <c r="AE599" s="351">
        <v>0</v>
      </c>
      <c r="AF599" s="351">
        <v>0</v>
      </c>
      <c r="AG599" s="351">
        <v>0</v>
      </c>
      <c r="AH599" s="351">
        <v>0</v>
      </c>
      <c r="AI599" s="351">
        <v>0</v>
      </c>
      <c r="AJ599" s="351">
        <f t="shared" si="297"/>
        <v>93818.76</v>
      </c>
      <c r="AK599" s="351">
        <f t="shared" si="298"/>
        <v>46909.38</v>
      </c>
      <c r="AL599" s="351">
        <v>0</v>
      </c>
      <c r="AM599" s="352"/>
      <c r="AN599" s="352"/>
    </row>
    <row r="600" spans="1:40" s="19" customFormat="1" ht="9" hidden="1" customHeight="1">
      <c r="A600" s="90">
        <v>204</v>
      </c>
      <c r="B600" s="346" t="s">
        <v>891</v>
      </c>
      <c r="C600" s="348">
        <v>3077.1</v>
      </c>
      <c r="D600" s="343"/>
      <c r="E600" s="348"/>
      <c r="F600" s="348"/>
      <c r="G600" s="348">
        <v>2327132</v>
      </c>
      <c r="H600" s="348">
        <f t="shared" si="295"/>
        <v>0</v>
      </c>
      <c r="I600" s="129">
        <v>0</v>
      </c>
      <c r="J600" s="129">
        <v>0</v>
      </c>
      <c r="K600" s="129">
        <v>0</v>
      </c>
      <c r="L600" s="129">
        <v>0</v>
      </c>
      <c r="M600" s="129">
        <v>0</v>
      </c>
      <c r="N600" s="348">
        <v>0</v>
      </c>
      <c r="O600" s="348">
        <v>0</v>
      </c>
      <c r="P600" s="348">
        <v>0</v>
      </c>
      <c r="Q600" s="348">
        <v>0</v>
      </c>
      <c r="R600" s="348">
        <v>0</v>
      </c>
      <c r="S600" s="348">
        <v>0</v>
      </c>
      <c r="T600" s="44">
        <v>0</v>
      </c>
      <c r="U600" s="348">
        <v>0</v>
      </c>
      <c r="V600" s="348" t="s">
        <v>997</v>
      </c>
      <c r="W600" s="16">
        <v>698</v>
      </c>
      <c r="X600" s="348">
        <f t="shared" si="296"/>
        <v>2222411.06</v>
      </c>
      <c r="Y600" s="351">
        <v>0</v>
      </c>
      <c r="Z600" s="351">
        <v>0</v>
      </c>
      <c r="AA600" s="351">
        <v>0</v>
      </c>
      <c r="AB600" s="351">
        <v>0</v>
      </c>
      <c r="AC600" s="351">
        <v>0</v>
      </c>
      <c r="AD600" s="351">
        <v>0</v>
      </c>
      <c r="AE600" s="351">
        <v>0</v>
      </c>
      <c r="AF600" s="351">
        <v>0</v>
      </c>
      <c r="AG600" s="351">
        <v>0</v>
      </c>
      <c r="AH600" s="351">
        <v>0</v>
      </c>
      <c r="AI600" s="351">
        <v>0</v>
      </c>
      <c r="AJ600" s="351">
        <f t="shared" si="297"/>
        <v>69813.960000000006</v>
      </c>
      <c r="AK600" s="351">
        <f t="shared" si="298"/>
        <v>34906.980000000003</v>
      </c>
      <c r="AL600" s="351">
        <v>0</v>
      </c>
      <c r="AM600" s="352"/>
      <c r="AN600" s="352"/>
    </row>
    <row r="601" spans="1:40" s="19" customFormat="1" ht="9" hidden="1" customHeight="1">
      <c r="A601" s="90">
        <v>205</v>
      </c>
      <c r="B601" s="346" t="s">
        <v>892</v>
      </c>
      <c r="C601" s="348">
        <v>3071.76</v>
      </c>
      <c r="D601" s="343"/>
      <c r="E601" s="348"/>
      <c r="F601" s="348"/>
      <c r="G601" s="348">
        <v>3110622</v>
      </c>
      <c r="H601" s="348">
        <f t="shared" si="295"/>
        <v>0</v>
      </c>
      <c r="I601" s="129">
        <v>0</v>
      </c>
      <c r="J601" s="129">
        <v>0</v>
      </c>
      <c r="K601" s="129">
        <v>0</v>
      </c>
      <c r="L601" s="129">
        <v>0</v>
      </c>
      <c r="M601" s="129">
        <v>0</v>
      </c>
      <c r="N601" s="348">
        <v>0</v>
      </c>
      <c r="O601" s="348">
        <v>0</v>
      </c>
      <c r="P601" s="348">
        <v>0</v>
      </c>
      <c r="Q601" s="348">
        <v>0</v>
      </c>
      <c r="R601" s="348">
        <v>0</v>
      </c>
      <c r="S601" s="348">
        <v>0</v>
      </c>
      <c r="T601" s="44">
        <v>0</v>
      </c>
      <c r="U601" s="348">
        <v>0</v>
      </c>
      <c r="V601" s="348" t="s">
        <v>997</v>
      </c>
      <c r="W601" s="16">
        <v>933</v>
      </c>
      <c r="X601" s="348">
        <f t="shared" si="296"/>
        <v>2970644.01</v>
      </c>
      <c r="Y601" s="351">
        <v>0</v>
      </c>
      <c r="Z601" s="351">
        <v>0</v>
      </c>
      <c r="AA601" s="351">
        <v>0</v>
      </c>
      <c r="AB601" s="351">
        <v>0</v>
      </c>
      <c r="AC601" s="351">
        <v>0</v>
      </c>
      <c r="AD601" s="351">
        <v>0</v>
      </c>
      <c r="AE601" s="351">
        <v>0</v>
      </c>
      <c r="AF601" s="351">
        <v>0</v>
      </c>
      <c r="AG601" s="351">
        <v>0</v>
      </c>
      <c r="AH601" s="351">
        <v>0</v>
      </c>
      <c r="AI601" s="351">
        <v>0</v>
      </c>
      <c r="AJ601" s="351">
        <f t="shared" si="297"/>
        <v>93318.66</v>
      </c>
      <c r="AK601" s="351">
        <f t="shared" si="298"/>
        <v>46659.33</v>
      </c>
      <c r="AL601" s="351">
        <v>0</v>
      </c>
      <c r="AM601" s="352"/>
      <c r="AN601" s="352"/>
    </row>
    <row r="602" spans="1:40" s="19" customFormat="1" ht="36.75" hidden="1" customHeight="1">
      <c r="A602" s="607" t="s">
        <v>328</v>
      </c>
      <c r="B602" s="607"/>
      <c r="C602" s="92">
        <f>SUM(C596:C601)</f>
        <v>18114.36</v>
      </c>
      <c r="D602" s="92"/>
      <c r="E602" s="348"/>
      <c r="F602" s="348"/>
      <c r="G602" s="92">
        <f>SUM(G596:G601)</f>
        <v>17133426</v>
      </c>
      <c r="H602" s="92">
        <f t="shared" ref="H602:AL602" si="299">SUM(H596:H601)</f>
        <v>0</v>
      </c>
      <c r="I602" s="92">
        <f t="shared" si="299"/>
        <v>0</v>
      </c>
      <c r="J602" s="92">
        <f t="shared" si="299"/>
        <v>0</v>
      </c>
      <c r="K602" s="92">
        <f t="shared" si="299"/>
        <v>0</v>
      </c>
      <c r="L602" s="92">
        <f t="shared" si="299"/>
        <v>0</v>
      </c>
      <c r="M602" s="92">
        <f t="shared" si="299"/>
        <v>0</v>
      </c>
      <c r="N602" s="92">
        <f t="shared" si="299"/>
        <v>0</v>
      </c>
      <c r="O602" s="92">
        <f t="shared" si="299"/>
        <v>0</v>
      </c>
      <c r="P602" s="92">
        <f t="shared" si="299"/>
        <v>0</v>
      </c>
      <c r="Q602" s="92">
        <f t="shared" si="299"/>
        <v>0</v>
      </c>
      <c r="R602" s="92">
        <f t="shared" si="299"/>
        <v>0</v>
      </c>
      <c r="S602" s="92">
        <f t="shared" si="299"/>
        <v>0</v>
      </c>
      <c r="T602" s="93">
        <f t="shared" si="299"/>
        <v>0</v>
      </c>
      <c r="U602" s="92">
        <f t="shared" si="299"/>
        <v>0</v>
      </c>
      <c r="V602" s="348" t="s">
        <v>387</v>
      </c>
      <c r="W602" s="92">
        <f t="shared" si="299"/>
        <v>5139</v>
      </c>
      <c r="X602" s="92">
        <f t="shared" si="299"/>
        <v>16362421.83</v>
      </c>
      <c r="Y602" s="92">
        <f t="shared" si="299"/>
        <v>0</v>
      </c>
      <c r="Z602" s="92">
        <f t="shared" si="299"/>
        <v>0</v>
      </c>
      <c r="AA602" s="92">
        <f t="shared" si="299"/>
        <v>0</v>
      </c>
      <c r="AB602" s="92">
        <f t="shared" si="299"/>
        <v>0</v>
      </c>
      <c r="AC602" s="92">
        <f t="shared" si="299"/>
        <v>0</v>
      </c>
      <c r="AD602" s="92">
        <f t="shared" si="299"/>
        <v>0</v>
      </c>
      <c r="AE602" s="92">
        <f t="shared" si="299"/>
        <v>0</v>
      </c>
      <c r="AF602" s="92">
        <f t="shared" si="299"/>
        <v>0</v>
      </c>
      <c r="AG602" s="92">
        <f t="shared" si="299"/>
        <v>0</v>
      </c>
      <c r="AH602" s="92">
        <f t="shared" si="299"/>
        <v>0</v>
      </c>
      <c r="AI602" s="92">
        <f t="shared" si="299"/>
        <v>0</v>
      </c>
      <c r="AJ602" s="92">
        <f t="shared" si="299"/>
        <v>514002.78</v>
      </c>
      <c r="AK602" s="92">
        <f t="shared" si="299"/>
        <v>257001.39</v>
      </c>
      <c r="AL602" s="92">
        <f t="shared" si="299"/>
        <v>0</v>
      </c>
      <c r="AM602" s="352"/>
      <c r="AN602" s="352"/>
    </row>
    <row r="603" spans="1:40" s="19" customFormat="1" ht="11.25" hidden="1" customHeight="1">
      <c r="A603" s="519" t="s">
        <v>401</v>
      </c>
      <c r="B603" s="520"/>
      <c r="C603" s="520"/>
      <c r="D603" s="520"/>
      <c r="E603" s="520"/>
      <c r="F603" s="520"/>
      <c r="G603" s="520"/>
      <c r="H603" s="520"/>
      <c r="I603" s="520"/>
      <c r="J603" s="520"/>
      <c r="K603" s="520"/>
      <c r="L603" s="520"/>
      <c r="M603" s="520"/>
      <c r="N603" s="520"/>
      <c r="O603" s="520"/>
      <c r="P603" s="520"/>
      <c r="Q603" s="520"/>
      <c r="R603" s="520"/>
      <c r="S603" s="520"/>
      <c r="T603" s="520"/>
      <c r="U603" s="520"/>
      <c r="V603" s="520"/>
      <c r="W603" s="520"/>
      <c r="X603" s="520"/>
      <c r="Y603" s="520"/>
      <c r="Z603" s="520"/>
      <c r="AA603" s="520"/>
      <c r="AB603" s="520"/>
      <c r="AC603" s="520"/>
      <c r="AD603" s="520"/>
      <c r="AE603" s="520"/>
      <c r="AF603" s="520"/>
      <c r="AG603" s="520"/>
      <c r="AH603" s="520"/>
      <c r="AI603" s="520"/>
      <c r="AJ603" s="520"/>
      <c r="AK603" s="520"/>
      <c r="AL603" s="521"/>
      <c r="AM603" s="352"/>
      <c r="AN603" s="352"/>
    </row>
    <row r="604" spans="1:40" s="19" customFormat="1" ht="9" hidden="1" customHeight="1">
      <c r="A604" s="349">
        <v>206</v>
      </c>
      <c r="B604" s="346" t="s">
        <v>899</v>
      </c>
      <c r="C604" s="348">
        <v>536.67999999999995</v>
      </c>
      <c r="D604" s="343"/>
      <c r="E604" s="348"/>
      <c r="F604" s="348"/>
      <c r="G604" s="348">
        <v>1534533</v>
      </c>
      <c r="H604" s="348">
        <f t="shared" ref="H604" si="300">I604+K604+M604+O604+Q604+S604</f>
        <v>0</v>
      </c>
      <c r="I604" s="129">
        <v>0</v>
      </c>
      <c r="J604" s="129">
        <v>0</v>
      </c>
      <c r="K604" s="129">
        <v>0</v>
      </c>
      <c r="L604" s="129">
        <v>0</v>
      </c>
      <c r="M604" s="129">
        <v>0</v>
      </c>
      <c r="N604" s="348">
        <v>0</v>
      </c>
      <c r="O604" s="348">
        <v>0</v>
      </c>
      <c r="P604" s="348">
        <v>0</v>
      </c>
      <c r="Q604" s="348">
        <v>0</v>
      </c>
      <c r="R604" s="348">
        <v>0</v>
      </c>
      <c r="S604" s="348">
        <v>0</v>
      </c>
      <c r="T604" s="44">
        <v>0</v>
      </c>
      <c r="U604" s="348">
        <v>0</v>
      </c>
      <c r="V604" s="225" t="s">
        <v>998</v>
      </c>
      <c r="W604" s="16">
        <v>474.5</v>
      </c>
      <c r="X604" s="348">
        <f>ROUND(G604/100*95.5-0.01,2)</f>
        <v>1465479.01</v>
      </c>
      <c r="Y604" s="351">
        <v>0</v>
      </c>
      <c r="Z604" s="351">
        <v>0</v>
      </c>
      <c r="AA604" s="351">
        <v>0</v>
      </c>
      <c r="AB604" s="351">
        <v>0</v>
      </c>
      <c r="AC604" s="351">
        <v>0</v>
      </c>
      <c r="AD604" s="351">
        <v>0</v>
      </c>
      <c r="AE604" s="351">
        <v>0</v>
      </c>
      <c r="AF604" s="351">
        <v>0</v>
      </c>
      <c r="AG604" s="351">
        <v>0</v>
      </c>
      <c r="AH604" s="351">
        <v>0</v>
      </c>
      <c r="AI604" s="351">
        <v>0</v>
      </c>
      <c r="AJ604" s="351">
        <f t="shared" ref="AJ604" si="301">ROUND(G604/100*3,2)</f>
        <v>46035.99</v>
      </c>
      <c r="AK604" s="351">
        <f t="shared" ref="AK604" si="302">ROUND(G604/100*1.5,2)</f>
        <v>23018</v>
      </c>
      <c r="AL604" s="351">
        <v>0</v>
      </c>
      <c r="AM604" s="352"/>
      <c r="AN604" s="352"/>
    </row>
    <row r="605" spans="1:40" s="19" customFormat="1" ht="36.75" hidden="1" customHeight="1">
      <c r="A605" s="599" t="s">
        <v>402</v>
      </c>
      <c r="B605" s="599"/>
      <c r="C605" s="348">
        <f>SUM(C604)</f>
        <v>536.67999999999995</v>
      </c>
      <c r="D605" s="248"/>
      <c r="E605" s="348"/>
      <c r="F605" s="348"/>
      <c r="G605" s="348">
        <f>SUM(G604)</f>
        <v>1534533</v>
      </c>
      <c r="H605" s="348">
        <f t="shared" ref="H605:AL605" si="303">SUM(H604)</f>
        <v>0</v>
      </c>
      <c r="I605" s="348">
        <f t="shared" si="303"/>
        <v>0</v>
      </c>
      <c r="J605" s="348">
        <f t="shared" si="303"/>
        <v>0</v>
      </c>
      <c r="K605" s="348">
        <f t="shared" si="303"/>
        <v>0</v>
      </c>
      <c r="L605" s="348">
        <f t="shared" si="303"/>
        <v>0</v>
      </c>
      <c r="M605" s="348">
        <f t="shared" si="303"/>
        <v>0</v>
      </c>
      <c r="N605" s="348">
        <f t="shared" si="303"/>
        <v>0</v>
      </c>
      <c r="O605" s="348">
        <f t="shared" si="303"/>
        <v>0</v>
      </c>
      <c r="P605" s="348">
        <f t="shared" si="303"/>
        <v>0</v>
      </c>
      <c r="Q605" s="348">
        <f t="shared" si="303"/>
        <v>0</v>
      </c>
      <c r="R605" s="348">
        <f t="shared" si="303"/>
        <v>0</v>
      </c>
      <c r="S605" s="348">
        <f t="shared" si="303"/>
        <v>0</v>
      </c>
      <c r="T605" s="44">
        <f t="shared" si="303"/>
        <v>0</v>
      </c>
      <c r="U605" s="348">
        <f t="shared" si="303"/>
        <v>0</v>
      </c>
      <c r="V605" s="348" t="s">
        <v>387</v>
      </c>
      <c r="W605" s="348">
        <f t="shared" si="303"/>
        <v>474.5</v>
      </c>
      <c r="X605" s="348">
        <f t="shared" si="303"/>
        <v>1465479.01</v>
      </c>
      <c r="Y605" s="348">
        <f t="shared" si="303"/>
        <v>0</v>
      </c>
      <c r="Z605" s="348">
        <f t="shared" si="303"/>
        <v>0</v>
      </c>
      <c r="AA605" s="348">
        <f t="shared" si="303"/>
        <v>0</v>
      </c>
      <c r="AB605" s="348">
        <f t="shared" si="303"/>
        <v>0</v>
      </c>
      <c r="AC605" s="348">
        <f t="shared" si="303"/>
        <v>0</v>
      </c>
      <c r="AD605" s="348">
        <f t="shared" si="303"/>
        <v>0</v>
      </c>
      <c r="AE605" s="348">
        <f t="shared" si="303"/>
        <v>0</v>
      </c>
      <c r="AF605" s="348">
        <f t="shared" si="303"/>
        <v>0</v>
      </c>
      <c r="AG605" s="348">
        <f t="shared" si="303"/>
        <v>0</v>
      </c>
      <c r="AH605" s="348">
        <f t="shared" si="303"/>
        <v>0</v>
      </c>
      <c r="AI605" s="348">
        <f t="shared" si="303"/>
        <v>0</v>
      </c>
      <c r="AJ605" s="348">
        <f t="shared" si="303"/>
        <v>46035.99</v>
      </c>
      <c r="AK605" s="348">
        <f t="shared" si="303"/>
        <v>23018</v>
      </c>
      <c r="AL605" s="348">
        <f t="shared" si="303"/>
        <v>0</v>
      </c>
      <c r="AM605" s="352"/>
      <c r="AN605" s="352"/>
    </row>
    <row r="606" spans="1:40" s="19" customFormat="1" ht="12.75" hidden="1" customHeight="1">
      <c r="A606" s="519" t="s">
        <v>423</v>
      </c>
      <c r="B606" s="520"/>
      <c r="C606" s="520"/>
      <c r="D606" s="520"/>
      <c r="E606" s="520"/>
      <c r="F606" s="520"/>
      <c r="G606" s="520"/>
      <c r="H606" s="520"/>
      <c r="I606" s="520"/>
      <c r="J606" s="520"/>
      <c r="K606" s="520"/>
      <c r="L606" s="520"/>
      <c r="M606" s="520"/>
      <c r="N606" s="520"/>
      <c r="O606" s="520"/>
      <c r="P606" s="520"/>
      <c r="Q606" s="520"/>
      <c r="R606" s="520"/>
      <c r="S606" s="520"/>
      <c r="T606" s="520"/>
      <c r="U606" s="520"/>
      <c r="V606" s="520"/>
      <c r="W606" s="520"/>
      <c r="X606" s="520"/>
      <c r="Y606" s="520"/>
      <c r="Z606" s="520"/>
      <c r="AA606" s="520"/>
      <c r="AB606" s="520"/>
      <c r="AC606" s="520"/>
      <c r="AD606" s="520"/>
      <c r="AE606" s="520"/>
      <c r="AF606" s="520"/>
      <c r="AG606" s="520"/>
      <c r="AH606" s="520"/>
      <c r="AI606" s="520"/>
      <c r="AJ606" s="520"/>
      <c r="AK606" s="520"/>
      <c r="AL606" s="521"/>
      <c r="AM606" s="352"/>
      <c r="AN606" s="352"/>
    </row>
    <row r="607" spans="1:40" s="19" customFormat="1" ht="9" hidden="1" customHeight="1">
      <c r="A607" s="349">
        <v>207</v>
      </c>
      <c r="B607" s="68" t="s">
        <v>906</v>
      </c>
      <c r="C607" s="348">
        <v>492</v>
      </c>
      <c r="D607" s="343"/>
      <c r="E607" s="348"/>
      <c r="F607" s="348"/>
      <c r="G607" s="348">
        <v>1455300</v>
      </c>
      <c r="H607" s="348">
        <f t="shared" ref="H607:H612" si="304">I607+K607+M607+O607+Q607+S607</f>
        <v>0</v>
      </c>
      <c r="I607" s="129">
        <v>0</v>
      </c>
      <c r="J607" s="129">
        <v>0</v>
      </c>
      <c r="K607" s="129">
        <v>0</v>
      </c>
      <c r="L607" s="129">
        <v>0</v>
      </c>
      <c r="M607" s="129">
        <v>0</v>
      </c>
      <c r="N607" s="348">
        <v>0</v>
      </c>
      <c r="O607" s="348">
        <v>0</v>
      </c>
      <c r="P607" s="348">
        <v>0</v>
      </c>
      <c r="Q607" s="348">
        <v>0</v>
      </c>
      <c r="R607" s="348">
        <v>0</v>
      </c>
      <c r="S607" s="348">
        <v>0</v>
      </c>
      <c r="T607" s="44">
        <v>0</v>
      </c>
      <c r="U607" s="348">
        <v>0</v>
      </c>
      <c r="V607" s="225" t="s">
        <v>998</v>
      </c>
      <c r="W607" s="351">
        <v>450</v>
      </c>
      <c r="X607" s="348">
        <f t="shared" ref="X607:X612" si="305">ROUND(G607/100*95.5,2)</f>
        <v>1389811.5</v>
      </c>
      <c r="Y607" s="351">
        <v>0</v>
      </c>
      <c r="Z607" s="351">
        <v>0</v>
      </c>
      <c r="AA607" s="351">
        <v>0</v>
      </c>
      <c r="AB607" s="351">
        <v>0</v>
      </c>
      <c r="AC607" s="351">
        <v>0</v>
      </c>
      <c r="AD607" s="351">
        <v>0</v>
      </c>
      <c r="AE607" s="351">
        <v>0</v>
      </c>
      <c r="AF607" s="351">
        <v>0</v>
      </c>
      <c r="AG607" s="351">
        <v>0</v>
      </c>
      <c r="AH607" s="351">
        <v>0</v>
      </c>
      <c r="AI607" s="351">
        <v>0</v>
      </c>
      <c r="AJ607" s="351">
        <f t="shared" ref="AJ607:AJ612" si="306">ROUND(G607/100*3,2)</f>
        <v>43659</v>
      </c>
      <c r="AK607" s="351">
        <f t="shared" ref="AK607:AK612" si="307">ROUND(G607/100*1.5,2)</f>
        <v>21829.5</v>
      </c>
      <c r="AL607" s="351">
        <v>0</v>
      </c>
      <c r="AM607" s="352"/>
      <c r="AN607" s="352"/>
    </row>
    <row r="608" spans="1:40" s="19" customFormat="1" ht="9" hidden="1" customHeight="1">
      <c r="A608" s="349">
        <v>208</v>
      </c>
      <c r="B608" s="68" t="s">
        <v>907</v>
      </c>
      <c r="C608" s="348">
        <v>795.7</v>
      </c>
      <c r="D608" s="343"/>
      <c r="E608" s="348"/>
      <c r="F608" s="348"/>
      <c r="G608" s="348">
        <v>2102100</v>
      </c>
      <c r="H608" s="348">
        <f t="shared" si="304"/>
        <v>0</v>
      </c>
      <c r="I608" s="129">
        <v>0</v>
      </c>
      <c r="J608" s="129">
        <v>0</v>
      </c>
      <c r="K608" s="129">
        <v>0</v>
      </c>
      <c r="L608" s="129">
        <v>0</v>
      </c>
      <c r="M608" s="129">
        <v>0</v>
      </c>
      <c r="N608" s="348">
        <v>0</v>
      </c>
      <c r="O608" s="348">
        <v>0</v>
      </c>
      <c r="P608" s="348">
        <v>0</v>
      </c>
      <c r="Q608" s="348">
        <v>0</v>
      </c>
      <c r="R608" s="348">
        <v>0</v>
      </c>
      <c r="S608" s="348">
        <v>0</v>
      </c>
      <c r="T608" s="44">
        <v>0</v>
      </c>
      <c r="U608" s="348">
        <v>0</v>
      </c>
      <c r="V608" s="225" t="s">
        <v>998</v>
      </c>
      <c r="W608" s="351">
        <v>650</v>
      </c>
      <c r="X608" s="348">
        <f t="shared" si="305"/>
        <v>2007505.5</v>
      </c>
      <c r="Y608" s="351">
        <v>0</v>
      </c>
      <c r="Z608" s="351">
        <v>0</v>
      </c>
      <c r="AA608" s="351">
        <v>0</v>
      </c>
      <c r="AB608" s="351">
        <v>0</v>
      </c>
      <c r="AC608" s="351">
        <v>0</v>
      </c>
      <c r="AD608" s="351">
        <v>0</v>
      </c>
      <c r="AE608" s="351">
        <v>0</v>
      </c>
      <c r="AF608" s="351">
        <v>0</v>
      </c>
      <c r="AG608" s="351">
        <v>0</v>
      </c>
      <c r="AH608" s="351">
        <v>0</v>
      </c>
      <c r="AI608" s="351">
        <v>0</v>
      </c>
      <c r="AJ608" s="351">
        <f t="shared" si="306"/>
        <v>63063</v>
      </c>
      <c r="AK608" s="351">
        <f t="shared" si="307"/>
        <v>31531.5</v>
      </c>
      <c r="AL608" s="351">
        <v>0</v>
      </c>
      <c r="AM608" s="352"/>
      <c r="AN608" s="352"/>
    </row>
    <row r="609" spans="1:40" s="19" customFormat="1" ht="9" hidden="1" customHeight="1">
      <c r="A609" s="349">
        <v>209</v>
      </c>
      <c r="B609" s="68" t="s">
        <v>908</v>
      </c>
      <c r="C609" s="348">
        <v>2606</v>
      </c>
      <c r="D609" s="343"/>
      <c r="E609" s="348"/>
      <c r="F609" s="348"/>
      <c r="G609" s="348">
        <v>3087499.8</v>
      </c>
      <c r="H609" s="348">
        <f t="shared" si="304"/>
        <v>0</v>
      </c>
      <c r="I609" s="129">
        <v>0</v>
      </c>
      <c r="J609" s="129">
        <v>0</v>
      </c>
      <c r="K609" s="129">
        <v>0</v>
      </c>
      <c r="L609" s="129">
        <v>0</v>
      </c>
      <c r="M609" s="129">
        <v>0</v>
      </c>
      <c r="N609" s="348">
        <v>0</v>
      </c>
      <c r="O609" s="348">
        <v>0</v>
      </c>
      <c r="P609" s="348">
        <v>0</v>
      </c>
      <c r="Q609" s="348">
        <v>0</v>
      </c>
      <c r="R609" s="348">
        <v>0</v>
      </c>
      <c r="S609" s="348">
        <v>0</v>
      </c>
      <c r="T609" s="44">
        <v>0</v>
      </c>
      <c r="U609" s="348">
        <v>0</v>
      </c>
      <c r="V609" s="225" t="s">
        <v>998</v>
      </c>
      <c r="W609" s="351">
        <v>954.7</v>
      </c>
      <c r="X609" s="348">
        <f t="shared" si="305"/>
        <v>2948562.31</v>
      </c>
      <c r="Y609" s="351">
        <v>0</v>
      </c>
      <c r="Z609" s="351">
        <v>0</v>
      </c>
      <c r="AA609" s="351">
        <v>0</v>
      </c>
      <c r="AB609" s="351">
        <v>0</v>
      </c>
      <c r="AC609" s="351">
        <v>0</v>
      </c>
      <c r="AD609" s="351">
        <v>0</v>
      </c>
      <c r="AE609" s="351">
        <v>0</v>
      </c>
      <c r="AF609" s="351">
        <v>0</v>
      </c>
      <c r="AG609" s="351">
        <v>0</v>
      </c>
      <c r="AH609" s="351">
        <v>0</v>
      </c>
      <c r="AI609" s="351">
        <v>0</v>
      </c>
      <c r="AJ609" s="351">
        <f t="shared" si="306"/>
        <v>92624.99</v>
      </c>
      <c r="AK609" s="351">
        <f t="shared" si="307"/>
        <v>46312.5</v>
      </c>
      <c r="AL609" s="351">
        <v>0</v>
      </c>
      <c r="AM609" s="352"/>
      <c r="AN609" s="352"/>
    </row>
    <row r="610" spans="1:40" s="19" customFormat="1" ht="9" hidden="1" customHeight="1">
      <c r="A610" s="349">
        <v>210</v>
      </c>
      <c r="B610" s="68" t="s">
        <v>909</v>
      </c>
      <c r="C610" s="348">
        <v>292.3</v>
      </c>
      <c r="D610" s="343"/>
      <c r="E610" s="348"/>
      <c r="F610" s="348"/>
      <c r="G610" s="348">
        <v>867746.88</v>
      </c>
      <c r="H610" s="348">
        <f t="shared" si="304"/>
        <v>0</v>
      </c>
      <c r="I610" s="129">
        <v>0</v>
      </c>
      <c r="J610" s="129">
        <v>0</v>
      </c>
      <c r="K610" s="129">
        <v>0</v>
      </c>
      <c r="L610" s="129">
        <v>0</v>
      </c>
      <c r="M610" s="129">
        <v>0</v>
      </c>
      <c r="N610" s="348">
        <v>0</v>
      </c>
      <c r="O610" s="348">
        <v>0</v>
      </c>
      <c r="P610" s="348">
        <v>0</v>
      </c>
      <c r="Q610" s="348">
        <v>0</v>
      </c>
      <c r="R610" s="348">
        <v>0</v>
      </c>
      <c r="S610" s="348">
        <v>0</v>
      </c>
      <c r="T610" s="44">
        <v>0</v>
      </c>
      <c r="U610" s="348">
        <v>0</v>
      </c>
      <c r="V610" s="225" t="s">
        <v>998</v>
      </c>
      <c r="W610" s="351">
        <v>268.32</v>
      </c>
      <c r="X610" s="348">
        <f t="shared" si="305"/>
        <v>828698.27</v>
      </c>
      <c r="Y610" s="351">
        <v>0</v>
      </c>
      <c r="Z610" s="351">
        <v>0</v>
      </c>
      <c r="AA610" s="351">
        <v>0</v>
      </c>
      <c r="AB610" s="351">
        <v>0</v>
      </c>
      <c r="AC610" s="351">
        <v>0</v>
      </c>
      <c r="AD610" s="351">
        <v>0</v>
      </c>
      <c r="AE610" s="351">
        <v>0</v>
      </c>
      <c r="AF610" s="351">
        <v>0</v>
      </c>
      <c r="AG610" s="351">
        <v>0</v>
      </c>
      <c r="AH610" s="351">
        <v>0</v>
      </c>
      <c r="AI610" s="351">
        <v>0</v>
      </c>
      <c r="AJ610" s="351">
        <f t="shared" si="306"/>
        <v>26032.41</v>
      </c>
      <c r="AK610" s="351">
        <f t="shared" si="307"/>
        <v>13016.2</v>
      </c>
      <c r="AL610" s="351">
        <v>0</v>
      </c>
      <c r="AM610" s="352"/>
      <c r="AN610" s="352"/>
    </row>
    <row r="611" spans="1:40" s="19" customFormat="1" ht="9" hidden="1" customHeight="1">
      <c r="A611" s="349">
        <v>211</v>
      </c>
      <c r="B611" s="68" t="s">
        <v>910</v>
      </c>
      <c r="C611" s="348">
        <v>1702.9</v>
      </c>
      <c r="D611" s="343"/>
      <c r="E611" s="348"/>
      <c r="F611" s="348"/>
      <c r="G611" s="348">
        <v>2102100</v>
      </c>
      <c r="H611" s="348">
        <f t="shared" si="304"/>
        <v>0</v>
      </c>
      <c r="I611" s="129">
        <v>0</v>
      </c>
      <c r="J611" s="129">
        <v>0</v>
      </c>
      <c r="K611" s="129">
        <v>0</v>
      </c>
      <c r="L611" s="129">
        <v>0</v>
      </c>
      <c r="M611" s="129">
        <v>0</v>
      </c>
      <c r="N611" s="348">
        <v>0</v>
      </c>
      <c r="O611" s="348">
        <v>0</v>
      </c>
      <c r="P611" s="348">
        <v>0</v>
      </c>
      <c r="Q611" s="348">
        <v>0</v>
      </c>
      <c r="R611" s="348">
        <v>0</v>
      </c>
      <c r="S611" s="348">
        <v>0</v>
      </c>
      <c r="T611" s="44">
        <v>0</v>
      </c>
      <c r="U611" s="348">
        <v>0</v>
      </c>
      <c r="V611" s="225" t="s">
        <v>998</v>
      </c>
      <c r="W611" s="351">
        <v>650</v>
      </c>
      <c r="X611" s="348">
        <f t="shared" si="305"/>
        <v>2007505.5</v>
      </c>
      <c r="Y611" s="351">
        <v>0</v>
      </c>
      <c r="Z611" s="351">
        <v>0</v>
      </c>
      <c r="AA611" s="351">
        <v>0</v>
      </c>
      <c r="AB611" s="351">
        <v>0</v>
      </c>
      <c r="AC611" s="351">
        <v>0</v>
      </c>
      <c r="AD611" s="351">
        <v>0</v>
      </c>
      <c r="AE611" s="351">
        <v>0</v>
      </c>
      <c r="AF611" s="351">
        <v>0</v>
      </c>
      <c r="AG611" s="351">
        <v>0</v>
      </c>
      <c r="AH611" s="351">
        <v>0</v>
      </c>
      <c r="AI611" s="351">
        <v>0</v>
      </c>
      <c r="AJ611" s="351">
        <f t="shared" si="306"/>
        <v>63063</v>
      </c>
      <c r="AK611" s="351">
        <f t="shared" si="307"/>
        <v>31531.5</v>
      </c>
      <c r="AL611" s="351">
        <v>0</v>
      </c>
      <c r="AM611" s="352"/>
      <c r="AN611" s="352"/>
    </row>
    <row r="612" spans="1:40" s="19" customFormat="1" ht="9" hidden="1" customHeight="1">
      <c r="A612" s="349">
        <v>212</v>
      </c>
      <c r="B612" s="68" t="s">
        <v>911</v>
      </c>
      <c r="C612" s="348">
        <v>1233</v>
      </c>
      <c r="D612" s="343"/>
      <c r="E612" s="348"/>
      <c r="F612" s="348"/>
      <c r="G612" s="348">
        <v>1798104</v>
      </c>
      <c r="H612" s="348">
        <f t="shared" si="304"/>
        <v>0</v>
      </c>
      <c r="I612" s="129">
        <v>0</v>
      </c>
      <c r="J612" s="129">
        <v>0</v>
      </c>
      <c r="K612" s="129">
        <v>0</v>
      </c>
      <c r="L612" s="129">
        <v>0</v>
      </c>
      <c r="M612" s="129">
        <v>0</v>
      </c>
      <c r="N612" s="348">
        <v>0</v>
      </c>
      <c r="O612" s="348">
        <v>0</v>
      </c>
      <c r="P612" s="348">
        <v>0</v>
      </c>
      <c r="Q612" s="348">
        <v>0</v>
      </c>
      <c r="R612" s="348">
        <v>0</v>
      </c>
      <c r="S612" s="348">
        <v>0</v>
      </c>
      <c r="T612" s="44">
        <v>0</v>
      </c>
      <c r="U612" s="348">
        <v>0</v>
      </c>
      <c r="V612" s="225" t="s">
        <v>998</v>
      </c>
      <c r="W612" s="351">
        <v>556</v>
      </c>
      <c r="X612" s="348">
        <f t="shared" si="305"/>
        <v>1717189.32</v>
      </c>
      <c r="Y612" s="351">
        <v>0</v>
      </c>
      <c r="Z612" s="351">
        <v>0</v>
      </c>
      <c r="AA612" s="351">
        <v>0</v>
      </c>
      <c r="AB612" s="351">
        <v>0</v>
      </c>
      <c r="AC612" s="351">
        <v>0</v>
      </c>
      <c r="AD612" s="351">
        <v>0</v>
      </c>
      <c r="AE612" s="351">
        <v>0</v>
      </c>
      <c r="AF612" s="351">
        <v>0</v>
      </c>
      <c r="AG612" s="351">
        <v>0</v>
      </c>
      <c r="AH612" s="351">
        <v>0</v>
      </c>
      <c r="AI612" s="351">
        <v>0</v>
      </c>
      <c r="AJ612" s="351">
        <f t="shared" si="306"/>
        <v>53943.12</v>
      </c>
      <c r="AK612" s="351">
        <f t="shared" si="307"/>
        <v>26971.56</v>
      </c>
      <c r="AL612" s="351">
        <v>0</v>
      </c>
      <c r="AM612" s="352"/>
      <c r="AN612" s="352"/>
    </row>
    <row r="613" spans="1:40" s="19" customFormat="1" ht="25.5" hidden="1" customHeight="1">
      <c r="A613" s="599" t="s">
        <v>424</v>
      </c>
      <c r="B613" s="599"/>
      <c r="C613" s="348">
        <f>SUM(C607:C612)</f>
        <v>7121.9</v>
      </c>
      <c r="D613" s="248"/>
      <c r="E613" s="225"/>
      <c r="F613" s="225"/>
      <c r="G613" s="348">
        <f>SUM(G607:G612)</f>
        <v>11412850.68</v>
      </c>
      <c r="H613" s="348">
        <f t="shared" ref="H613:AN613" si="308">SUM(H607:H612)</f>
        <v>0</v>
      </c>
      <c r="I613" s="348">
        <f t="shared" si="308"/>
        <v>0</v>
      </c>
      <c r="J613" s="348">
        <f t="shared" si="308"/>
        <v>0</v>
      </c>
      <c r="K613" s="348">
        <f t="shared" si="308"/>
        <v>0</v>
      </c>
      <c r="L613" s="348">
        <f t="shared" si="308"/>
        <v>0</v>
      </c>
      <c r="M613" s="348">
        <f t="shared" si="308"/>
        <v>0</v>
      </c>
      <c r="N613" s="348">
        <f t="shared" si="308"/>
        <v>0</v>
      </c>
      <c r="O613" s="348">
        <f t="shared" si="308"/>
        <v>0</v>
      </c>
      <c r="P613" s="348">
        <f t="shared" si="308"/>
        <v>0</v>
      </c>
      <c r="Q613" s="348">
        <f t="shared" si="308"/>
        <v>0</v>
      </c>
      <c r="R613" s="348">
        <f t="shared" si="308"/>
        <v>0</v>
      </c>
      <c r="S613" s="348">
        <f t="shared" si="308"/>
        <v>0</v>
      </c>
      <c r="T613" s="44">
        <f t="shared" si="308"/>
        <v>0</v>
      </c>
      <c r="U613" s="348">
        <f t="shared" si="308"/>
        <v>0</v>
      </c>
      <c r="V613" s="225" t="s">
        <v>387</v>
      </c>
      <c r="W613" s="348">
        <f t="shared" si="308"/>
        <v>3529.02</v>
      </c>
      <c r="X613" s="348">
        <f t="shared" si="308"/>
        <v>10899272.4</v>
      </c>
      <c r="Y613" s="348">
        <f t="shared" si="308"/>
        <v>0</v>
      </c>
      <c r="Z613" s="348">
        <f t="shared" si="308"/>
        <v>0</v>
      </c>
      <c r="AA613" s="348">
        <f t="shared" si="308"/>
        <v>0</v>
      </c>
      <c r="AB613" s="348">
        <f t="shared" si="308"/>
        <v>0</v>
      </c>
      <c r="AC613" s="348">
        <f t="shared" si="308"/>
        <v>0</v>
      </c>
      <c r="AD613" s="348">
        <f t="shared" si="308"/>
        <v>0</v>
      </c>
      <c r="AE613" s="348">
        <f t="shared" si="308"/>
        <v>0</v>
      </c>
      <c r="AF613" s="348">
        <f t="shared" si="308"/>
        <v>0</v>
      </c>
      <c r="AG613" s="348">
        <f t="shared" si="308"/>
        <v>0</v>
      </c>
      <c r="AH613" s="348">
        <f t="shared" si="308"/>
        <v>0</v>
      </c>
      <c r="AI613" s="348">
        <f t="shared" si="308"/>
        <v>0</v>
      </c>
      <c r="AJ613" s="348">
        <f t="shared" si="308"/>
        <v>342385.52</v>
      </c>
      <c r="AK613" s="348">
        <f t="shared" si="308"/>
        <v>171192.76</v>
      </c>
      <c r="AL613" s="348">
        <f t="shared" si="308"/>
        <v>0</v>
      </c>
      <c r="AM613" s="348">
        <f t="shared" si="308"/>
        <v>0</v>
      </c>
      <c r="AN613" s="348">
        <f t="shared" si="308"/>
        <v>0</v>
      </c>
    </row>
    <row r="614" spans="1:40" s="19" customFormat="1" ht="13.5" hidden="1" customHeight="1">
      <c r="A614" s="519" t="s">
        <v>342</v>
      </c>
      <c r="B614" s="520"/>
      <c r="C614" s="520"/>
      <c r="D614" s="520"/>
      <c r="E614" s="520"/>
      <c r="F614" s="520"/>
      <c r="G614" s="520"/>
      <c r="H614" s="520"/>
      <c r="I614" s="520"/>
      <c r="J614" s="520"/>
      <c r="K614" s="520"/>
      <c r="L614" s="520"/>
      <c r="M614" s="520"/>
      <c r="N614" s="520"/>
      <c r="O614" s="520"/>
      <c r="P614" s="520"/>
      <c r="Q614" s="520"/>
      <c r="R614" s="520"/>
      <c r="S614" s="520"/>
      <c r="T614" s="520"/>
      <c r="U614" s="520"/>
      <c r="V614" s="520"/>
      <c r="W614" s="520"/>
      <c r="X614" s="520"/>
      <c r="Y614" s="520"/>
      <c r="Z614" s="520"/>
      <c r="AA614" s="520"/>
      <c r="AB614" s="520"/>
      <c r="AC614" s="520"/>
      <c r="AD614" s="520"/>
      <c r="AE614" s="520"/>
      <c r="AF614" s="520"/>
      <c r="AG614" s="520"/>
      <c r="AH614" s="520"/>
      <c r="AI614" s="520"/>
      <c r="AJ614" s="520"/>
      <c r="AK614" s="520"/>
      <c r="AL614" s="521"/>
      <c r="AM614" s="352"/>
      <c r="AN614" s="352"/>
    </row>
    <row r="615" spans="1:40" s="19" customFormat="1" ht="9" hidden="1" customHeight="1">
      <c r="A615" s="349">
        <v>213</v>
      </c>
      <c r="B615" s="68" t="s">
        <v>915</v>
      </c>
      <c r="C615" s="348">
        <v>878.5</v>
      </c>
      <c r="D615" s="343"/>
      <c r="E615" s="348"/>
      <c r="F615" s="348"/>
      <c r="G615" s="348">
        <v>2728687.5</v>
      </c>
      <c r="H615" s="348">
        <f t="shared" ref="H615:H616" si="309">I615+K615+M615+O615+Q615+S615</f>
        <v>0</v>
      </c>
      <c r="I615" s="129">
        <v>0</v>
      </c>
      <c r="J615" s="129">
        <v>0</v>
      </c>
      <c r="K615" s="129">
        <v>0</v>
      </c>
      <c r="L615" s="129">
        <v>0</v>
      </c>
      <c r="M615" s="129">
        <v>0</v>
      </c>
      <c r="N615" s="348">
        <v>0</v>
      </c>
      <c r="O615" s="348">
        <v>0</v>
      </c>
      <c r="P615" s="348">
        <v>0</v>
      </c>
      <c r="Q615" s="348">
        <v>0</v>
      </c>
      <c r="R615" s="348">
        <v>0</v>
      </c>
      <c r="S615" s="348">
        <v>0</v>
      </c>
      <c r="T615" s="44">
        <v>0</v>
      </c>
      <c r="U615" s="348">
        <v>0</v>
      </c>
      <c r="V615" s="225" t="s">
        <v>998</v>
      </c>
      <c r="W615" s="351">
        <v>843.75</v>
      </c>
      <c r="X615" s="348">
        <f t="shared" ref="X615" si="310">ROUND(G615/100*95.5,2)</f>
        <v>2605896.56</v>
      </c>
      <c r="Y615" s="351">
        <v>0</v>
      </c>
      <c r="Z615" s="351">
        <v>0</v>
      </c>
      <c r="AA615" s="351">
        <v>0</v>
      </c>
      <c r="AB615" s="351">
        <v>0</v>
      </c>
      <c r="AC615" s="351">
        <v>0</v>
      </c>
      <c r="AD615" s="351">
        <v>0</v>
      </c>
      <c r="AE615" s="351">
        <v>0</v>
      </c>
      <c r="AF615" s="351">
        <v>0</v>
      </c>
      <c r="AG615" s="351">
        <v>0</v>
      </c>
      <c r="AH615" s="351">
        <v>0</v>
      </c>
      <c r="AI615" s="351">
        <v>0</v>
      </c>
      <c r="AJ615" s="351">
        <f t="shared" ref="AJ615:AJ616" si="311">ROUND(G615/100*3,2)</f>
        <v>81860.63</v>
      </c>
      <c r="AK615" s="351">
        <f t="shared" ref="AK615:AK616" si="312">ROUND(G615/100*1.5,2)</f>
        <v>40930.31</v>
      </c>
      <c r="AL615" s="351">
        <v>0</v>
      </c>
      <c r="AM615" s="352"/>
      <c r="AN615" s="352"/>
    </row>
    <row r="616" spans="1:40" s="19" customFormat="1" ht="9" hidden="1" customHeight="1">
      <c r="A616" s="349">
        <v>214</v>
      </c>
      <c r="B616" s="68" t="s">
        <v>916</v>
      </c>
      <c r="C616" s="348">
        <v>942.74</v>
      </c>
      <c r="D616" s="343"/>
      <c r="E616" s="348"/>
      <c r="F616" s="348"/>
      <c r="G616" s="348">
        <v>3178375.2</v>
      </c>
      <c r="H616" s="348">
        <f t="shared" si="309"/>
        <v>0</v>
      </c>
      <c r="I616" s="129">
        <v>0</v>
      </c>
      <c r="J616" s="129">
        <v>0</v>
      </c>
      <c r="K616" s="129">
        <v>0</v>
      </c>
      <c r="L616" s="129">
        <v>0</v>
      </c>
      <c r="M616" s="129">
        <v>0</v>
      </c>
      <c r="N616" s="348">
        <v>0</v>
      </c>
      <c r="O616" s="348">
        <v>0</v>
      </c>
      <c r="P616" s="348">
        <v>0</v>
      </c>
      <c r="Q616" s="348">
        <v>0</v>
      </c>
      <c r="R616" s="348">
        <v>0</v>
      </c>
      <c r="S616" s="348">
        <v>0</v>
      </c>
      <c r="T616" s="44">
        <v>0</v>
      </c>
      <c r="U616" s="348">
        <v>0</v>
      </c>
      <c r="V616" s="225" t="s">
        <v>998</v>
      </c>
      <c r="W616" s="351">
        <v>982.8</v>
      </c>
      <c r="X616" s="348">
        <f>ROUND(G616/100*95.5-0.01,2)</f>
        <v>3035348.31</v>
      </c>
      <c r="Y616" s="351">
        <v>0</v>
      </c>
      <c r="Z616" s="351">
        <v>0</v>
      </c>
      <c r="AA616" s="351">
        <v>0</v>
      </c>
      <c r="AB616" s="351">
        <v>0</v>
      </c>
      <c r="AC616" s="351">
        <v>0</v>
      </c>
      <c r="AD616" s="351">
        <v>0</v>
      </c>
      <c r="AE616" s="351">
        <v>0</v>
      </c>
      <c r="AF616" s="351">
        <v>0</v>
      </c>
      <c r="AG616" s="351">
        <v>0</v>
      </c>
      <c r="AH616" s="351">
        <v>0</v>
      </c>
      <c r="AI616" s="351">
        <v>0</v>
      </c>
      <c r="AJ616" s="351">
        <f t="shared" si="311"/>
        <v>95351.26</v>
      </c>
      <c r="AK616" s="351">
        <f t="shared" si="312"/>
        <v>47675.63</v>
      </c>
      <c r="AL616" s="351">
        <v>0</v>
      </c>
      <c r="AM616" s="352"/>
      <c r="AN616" s="352"/>
    </row>
    <row r="617" spans="1:40" s="19" customFormat="1" ht="38.25" hidden="1" customHeight="1">
      <c r="A617" s="599" t="s">
        <v>996</v>
      </c>
      <c r="B617" s="599"/>
      <c r="C617" s="348">
        <f>SUM(C615:C616)</f>
        <v>1821.24</v>
      </c>
      <c r="D617" s="248"/>
      <c r="E617" s="225"/>
      <c r="F617" s="225"/>
      <c r="G617" s="348">
        <f>SUM(G615:G616)</f>
        <v>5907062.7000000002</v>
      </c>
      <c r="H617" s="348">
        <f t="shared" ref="H617:AL617" si="313">SUM(H615:H616)</f>
        <v>0</v>
      </c>
      <c r="I617" s="348">
        <f t="shared" si="313"/>
        <v>0</v>
      </c>
      <c r="J617" s="348">
        <f t="shared" si="313"/>
        <v>0</v>
      </c>
      <c r="K617" s="348">
        <f t="shared" si="313"/>
        <v>0</v>
      </c>
      <c r="L617" s="348">
        <f t="shared" si="313"/>
        <v>0</v>
      </c>
      <c r="M617" s="348">
        <f t="shared" si="313"/>
        <v>0</v>
      </c>
      <c r="N617" s="348">
        <f t="shared" si="313"/>
        <v>0</v>
      </c>
      <c r="O617" s="348">
        <f t="shared" si="313"/>
        <v>0</v>
      </c>
      <c r="P617" s="348">
        <f t="shared" si="313"/>
        <v>0</v>
      </c>
      <c r="Q617" s="348">
        <f t="shared" si="313"/>
        <v>0</v>
      </c>
      <c r="R617" s="348">
        <f t="shared" si="313"/>
        <v>0</v>
      </c>
      <c r="S617" s="348">
        <f t="shared" si="313"/>
        <v>0</v>
      </c>
      <c r="T617" s="44">
        <f t="shared" si="313"/>
        <v>0</v>
      </c>
      <c r="U617" s="348">
        <f t="shared" si="313"/>
        <v>0</v>
      </c>
      <c r="V617" s="225" t="s">
        <v>387</v>
      </c>
      <c r="W617" s="348">
        <f t="shared" si="313"/>
        <v>1826.55</v>
      </c>
      <c r="X617" s="348">
        <f t="shared" si="313"/>
        <v>5641244.8700000001</v>
      </c>
      <c r="Y617" s="348">
        <f t="shared" si="313"/>
        <v>0</v>
      </c>
      <c r="Z617" s="348">
        <f t="shared" si="313"/>
        <v>0</v>
      </c>
      <c r="AA617" s="348">
        <f t="shared" si="313"/>
        <v>0</v>
      </c>
      <c r="AB617" s="348">
        <f t="shared" si="313"/>
        <v>0</v>
      </c>
      <c r="AC617" s="348">
        <f t="shared" si="313"/>
        <v>0</v>
      </c>
      <c r="AD617" s="348">
        <f t="shared" si="313"/>
        <v>0</v>
      </c>
      <c r="AE617" s="348">
        <f t="shared" si="313"/>
        <v>0</v>
      </c>
      <c r="AF617" s="348">
        <f t="shared" si="313"/>
        <v>0</v>
      </c>
      <c r="AG617" s="348">
        <f t="shared" si="313"/>
        <v>0</v>
      </c>
      <c r="AH617" s="348">
        <f t="shared" si="313"/>
        <v>0</v>
      </c>
      <c r="AI617" s="348">
        <f t="shared" si="313"/>
        <v>0</v>
      </c>
      <c r="AJ617" s="348">
        <f t="shared" si="313"/>
        <v>177211.89</v>
      </c>
      <c r="AK617" s="348">
        <f t="shared" si="313"/>
        <v>88605.94</v>
      </c>
      <c r="AL617" s="348">
        <f t="shared" si="313"/>
        <v>0</v>
      </c>
      <c r="AM617" s="352"/>
      <c r="AN617" s="352"/>
    </row>
    <row r="618" spans="1:40" s="19" customFormat="1" ht="12.75" hidden="1" customHeight="1">
      <c r="A618" s="519" t="s">
        <v>421</v>
      </c>
      <c r="B618" s="520"/>
      <c r="C618" s="520"/>
      <c r="D618" s="520"/>
      <c r="E618" s="520"/>
      <c r="F618" s="520"/>
      <c r="G618" s="520"/>
      <c r="H618" s="520"/>
      <c r="I618" s="520"/>
      <c r="J618" s="520"/>
      <c r="K618" s="520"/>
      <c r="L618" s="520"/>
      <c r="M618" s="520"/>
      <c r="N618" s="520"/>
      <c r="O618" s="520"/>
      <c r="P618" s="520"/>
      <c r="Q618" s="520"/>
      <c r="R618" s="520"/>
      <c r="S618" s="520"/>
      <c r="T618" s="520"/>
      <c r="U618" s="520"/>
      <c r="V618" s="520"/>
      <c r="W618" s="520"/>
      <c r="X618" s="520"/>
      <c r="Y618" s="520"/>
      <c r="Z618" s="520"/>
      <c r="AA618" s="520"/>
      <c r="AB618" s="520"/>
      <c r="AC618" s="520"/>
      <c r="AD618" s="520"/>
      <c r="AE618" s="520"/>
      <c r="AF618" s="520"/>
      <c r="AG618" s="520"/>
      <c r="AH618" s="520"/>
      <c r="AI618" s="520"/>
      <c r="AJ618" s="520"/>
      <c r="AK618" s="520"/>
      <c r="AL618" s="521"/>
      <c r="AM618" s="352"/>
      <c r="AN618" s="352"/>
    </row>
    <row r="619" spans="1:40" s="19" customFormat="1" ht="9" hidden="1" customHeight="1">
      <c r="A619" s="349">
        <v>215</v>
      </c>
      <c r="B619" s="68" t="s">
        <v>918</v>
      </c>
      <c r="C619" s="348">
        <v>567.1</v>
      </c>
      <c r="D619" s="343"/>
      <c r="E619" s="348"/>
      <c r="F619" s="348"/>
      <c r="G619" s="348">
        <v>2003463</v>
      </c>
      <c r="H619" s="348">
        <f t="shared" ref="H619" si="314">I619+K619+M619+O619+Q619+S619</f>
        <v>0</v>
      </c>
      <c r="I619" s="129">
        <v>0</v>
      </c>
      <c r="J619" s="129">
        <v>0</v>
      </c>
      <c r="K619" s="129">
        <v>0</v>
      </c>
      <c r="L619" s="129">
        <v>0</v>
      </c>
      <c r="M619" s="129">
        <v>0</v>
      </c>
      <c r="N619" s="348">
        <v>0</v>
      </c>
      <c r="O619" s="348">
        <v>0</v>
      </c>
      <c r="P619" s="348">
        <v>0</v>
      </c>
      <c r="Q619" s="348">
        <v>0</v>
      </c>
      <c r="R619" s="348">
        <v>0</v>
      </c>
      <c r="S619" s="348">
        <v>0</v>
      </c>
      <c r="T619" s="44">
        <v>0</v>
      </c>
      <c r="U619" s="348">
        <v>0</v>
      </c>
      <c r="V619" s="225" t="s">
        <v>998</v>
      </c>
      <c r="W619" s="351">
        <v>619.5</v>
      </c>
      <c r="X619" s="348">
        <f>ROUND(G619/100*95.5-0.01,2)</f>
        <v>1913307.16</v>
      </c>
      <c r="Y619" s="351">
        <v>0</v>
      </c>
      <c r="Z619" s="351">
        <v>0</v>
      </c>
      <c r="AA619" s="351">
        <v>0</v>
      </c>
      <c r="AB619" s="351">
        <v>0</v>
      </c>
      <c r="AC619" s="351">
        <v>0</v>
      </c>
      <c r="AD619" s="351">
        <v>0</v>
      </c>
      <c r="AE619" s="351">
        <v>0</v>
      </c>
      <c r="AF619" s="351">
        <v>0</v>
      </c>
      <c r="AG619" s="351">
        <v>0</v>
      </c>
      <c r="AH619" s="351">
        <v>0</v>
      </c>
      <c r="AI619" s="351">
        <v>0</v>
      </c>
      <c r="AJ619" s="351">
        <f t="shared" ref="AJ619" si="315">ROUND(G619/100*3,2)</f>
        <v>60103.89</v>
      </c>
      <c r="AK619" s="351">
        <f t="shared" ref="AK619" si="316">ROUND(G619/100*1.5,2)</f>
        <v>30051.95</v>
      </c>
      <c r="AL619" s="351">
        <v>0</v>
      </c>
      <c r="AM619" s="352"/>
      <c r="AN619" s="352"/>
    </row>
    <row r="620" spans="1:40" s="19" customFormat="1" ht="22.5" hidden="1" customHeight="1">
      <c r="A620" s="599" t="s">
        <v>420</v>
      </c>
      <c r="B620" s="599"/>
      <c r="C620" s="348">
        <f>SUM(C619)</f>
        <v>567.1</v>
      </c>
      <c r="D620" s="248"/>
      <c r="E620" s="225"/>
      <c r="F620" s="225"/>
      <c r="G620" s="348">
        <f>SUM(G619)</f>
        <v>2003463</v>
      </c>
      <c r="H620" s="348">
        <f t="shared" ref="H620:AL620" si="317">SUM(H619)</f>
        <v>0</v>
      </c>
      <c r="I620" s="348">
        <f t="shared" si="317"/>
        <v>0</v>
      </c>
      <c r="J620" s="348">
        <f t="shared" si="317"/>
        <v>0</v>
      </c>
      <c r="K620" s="348">
        <f t="shared" si="317"/>
        <v>0</v>
      </c>
      <c r="L620" s="348">
        <f t="shared" si="317"/>
        <v>0</v>
      </c>
      <c r="M620" s="348">
        <f t="shared" si="317"/>
        <v>0</v>
      </c>
      <c r="N620" s="348">
        <f t="shared" si="317"/>
        <v>0</v>
      </c>
      <c r="O620" s="348">
        <f t="shared" si="317"/>
        <v>0</v>
      </c>
      <c r="P620" s="348">
        <f t="shared" si="317"/>
        <v>0</v>
      </c>
      <c r="Q620" s="348">
        <f t="shared" si="317"/>
        <v>0</v>
      </c>
      <c r="R620" s="348">
        <f t="shared" si="317"/>
        <v>0</v>
      </c>
      <c r="S620" s="348">
        <f t="shared" si="317"/>
        <v>0</v>
      </c>
      <c r="T620" s="44">
        <f t="shared" si="317"/>
        <v>0</v>
      </c>
      <c r="U620" s="348">
        <f t="shared" si="317"/>
        <v>0</v>
      </c>
      <c r="V620" s="225" t="s">
        <v>387</v>
      </c>
      <c r="W620" s="348">
        <f t="shared" si="317"/>
        <v>619.5</v>
      </c>
      <c r="X620" s="348">
        <f t="shared" si="317"/>
        <v>1913307.16</v>
      </c>
      <c r="Y620" s="348">
        <f t="shared" si="317"/>
        <v>0</v>
      </c>
      <c r="Z620" s="348">
        <f t="shared" si="317"/>
        <v>0</v>
      </c>
      <c r="AA620" s="348">
        <f t="shared" si="317"/>
        <v>0</v>
      </c>
      <c r="AB620" s="348">
        <f t="shared" si="317"/>
        <v>0</v>
      </c>
      <c r="AC620" s="348">
        <f t="shared" si="317"/>
        <v>0</v>
      </c>
      <c r="AD620" s="348">
        <f t="shared" si="317"/>
        <v>0</v>
      </c>
      <c r="AE620" s="348">
        <f t="shared" si="317"/>
        <v>0</v>
      </c>
      <c r="AF620" s="348">
        <f t="shared" si="317"/>
        <v>0</v>
      </c>
      <c r="AG620" s="348">
        <f t="shared" si="317"/>
        <v>0</v>
      </c>
      <c r="AH620" s="348">
        <f t="shared" si="317"/>
        <v>0</v>
      </c>
      <c r="AI620" s="348">
        <f t="shared" si="317"/>
        <v>0</v>
      </c>
      <c r="AJ620" s="348">
        <f t="shared" si="317"/>
        <v>60103.89</v>
      </c>
      <c r="AK620" s="348">
        <f t="shared" si="317"/>
        <v>30051.95</v>
      </c>
      <c r="AL620" s="348">
        <f t="shared" si="317"/>
        <v>0</v>
      </c>
      <c r="AM620" s="352"/>
      <c r="AN620" s="352"/>
    </row>
    <row r="621" spans="1:40" s="19" customFormat="1" ht="12" hidden="1" customHeight="1">
      <c r="A621" s="519" t="s">
        <v>349</v>
      </c>
      <c r="B621" s="520"/>
      <c r="C621" s="520"/>
      <c r="D621" s="520"/>
      <c r="E621" s="520"/>
      <c r="F621" s="520"/>
      <c r="G621" s="520"/>
      <c r="H621" s="520"/>
      <c r="I621" s="520"/>
      <c r="J621" s="520"/>
      <c r="K621" s="520"/>
      <c r="L621" s="520"/>
      <c r="M621" s="520"/>
      <c r="N621" s="520"/>
      <c r="O621" s="520"/>
      <c r="P621" s="520"/>
      <c r="Q621" s="520"/>
      <c r="R621" s="520"/>
      <c r="S621" s="520"/>
      <c r="T621" s="520"/>
      <c r="U621" s="520"/>
      <c r="V621" s="520"/>
      <c r="W621" s="520"/>
      <c r="X621" s="520"/>
      <c r="Y621" s="520"/>
      <c r="Z621" s="520"/>
      <c r="AA621" s="520"/>
      <c r="AB621" s="520"/>
      <c r="AC621" s="520"/>
      <c r="AD621" s="520"/>
      <c r="AE621" s="520"/>
      <c r="AF621" s="520"/>
      <c r="AG621" s="520"/>
      <c r="AH621" s="520"/>
      <c r="AI621" s="520"/>
      <c r="AJ621" s="520"/>
      <c r="AK621" s="520"/>
      <c r="AL621" s="521"/>
      <c r="AM621" s="352"/>
      <c r="AN621" s="352"/>
    </row>
    <row r="622" spans="1:40" s="19" customFormat="1" ht="9" hidden="1" customHeight="1">
      <c r="A622" s="349">
        <v>216</v>
      </c>
      <c r="B622" s="346" t="s">
        <v>920</v>
      </c>
      <c r="C622" s="348">
        <v>265.62</v>
      </c>
      <c r="D622" s="343"/>
      <c r="E622" s="348"/>
      <c r="F622" s="348"/>
      <c r="G622" s="348">
        <v>908754</v>
      </c>
      <c r="H622" s="348">
        <f t="shared" ref="H622:H623" si="318">I622+K622+M622+O622+Q622+S622</f>
        <v>0</v>
      </c>
      <c r="I622" s="129">
        <v>0</v>
      </c>
      <c r="J622" s="129">
        <v>0</v>
      </c>
      <c r="K622" s="129">
        <v>0</v>
      </c>
      <c r="L622" s="129">
        <v>0</v>
      </c>
      <c r="M622" s="129">
        <v>0</v>
      </c>
      <c r="N622" s="348">
        <v>0</v>
      </c>
      <c r="O622" s="348">
        <v>0</v>
      </c>
      <c r="P622" s="348">
        <v>0</v>
      </c>
      <c r="Q622" s="348">
        <v>0</v>
      </c>
      <c r="R622" s="348">
        <v>0</v>
      </c>
      <c r="S622" s="348">
        <v>0</v>
      </c>
      <c r="T622" s="44">
        <v>0</v>
      </c>
      <c r="U622" s="348">
        <v>0</v>
      </c>
      <c r="V622" s="225" t="s">
        <v>998</v>
      </c>
      <c r="W622" s="351">
        <v>281</v>
      </c>
      <c r="X622" s="348">
        <f t="shared" ref="X622:X623" si="319">ROUND(G622/100*95.5,2)</f>
        <v>867860.07</v>
      </c>
      <c r="Y622" s="351">
        <v>0</v>
      </c>
      <c r="Z622" s="351">
        <v>0</v>
      </c>
      <c r="AA622" s="351">
        <v>0</v>
      </c>
      <c r="AB622" s="351">
        <v>0</v>
      </c>
      <c r="AC622" s="351">
        <v>0</v>
      </c>
      <c r="AD622" s="351">
        <v>0</v>
      </c>
      <c r="AE622" s="351">
        <v>0</v>
      </c>
      <c r="AF622" s="351">
        <v>0</v>
      </c>
      <c r="AG622" s="351">
        <v>0</v>
      </c>
      <c r="AH622" s="351">
        <v>0</v>
      </c>
      <c r="AI622" s="351">
        <v>0</v>
      </c>
      <c r="AJ622" s="351">
        <f t="shared" ref="AJ622:AJ623" si="320">ROUND(G622/100*3,2)</f>
        <v>27262.62</v>
      </c>
      <c r="AK622" s="351">
        <f t="shared" ref="AK622:AK623" si="321">ROUND(G622/100*1.5,2)</f>
        <v>13631.31</v>
      </c>
      <c r="AL622" s="351">
        <v>0</v>
      </c>
      <c r="AM622" s="352"/>
      <c r="AN622" s="352"/>
    </row>
    <row r="623" spans="1:40" s="19" customFormat="1" ht="9" hidden="1" customHeight="1">
      <c r="A623" s="349">
        <v>217</v>
      </c>
      <c r="B623" s="346" t="s">
        <v>921</v>
      </c>
      <c r="C623" s="348">
        <v>641.38</v>
      </c>
      <c r="D623" s="343"/>
      <c r="E623" s="348"/>
      <c r="F623" s="348"/>
      <c r="G623" s="348">
        <v>1817508</v>
      </c>
      <c r="H623" s="348">
        <f t="shared" si="318"/>
        <v>0</v>
      </c>
      <c r="I623" s="129">
        <v>0</v>
      </c>
      <c r="J623" s="129">
        <v>0</v>
      </c>
      <c r="K623" s="129">
        <v>0</v>
      </c>
      <c r="L623" s="129">
        <v>0</v>
      </c>
      <c r="M623" s="129">
        <v>0</v>
      </c>
      <c r="N623" s="348">
        <v>0</v>
      </c>
      <c r="O623" s="348">
        <v>0</v>
      </c>
      <c r="P623" s="348">
        <v>0</v>
      </c>
      <c r="Q623" s="348">
        <v>0</v>
      </c>
      <c r="R623" s="348">
        <v>0</v>
      </c>
      <c r="S623" s="348">
        <v>0</v>
      </c>
      <c r="T623" s="44">
        <v>0</v>
      </c>
      <c r="U623" s="348">
        <v>0</v>
      </c>
      <c r="V623" s="225" t="s">
        <v>998</v>
      </c>
      <c r="W623" s="351">
        <v>562</v>
      </c>
      <c r="X623" s="348">
        <f t="shared" si="319"/>
        <v>1735720.14</v>
      </c>
      <c r="Y623" s="351">
        <v>0</v>
      </c>
      <c r="Z623" s="351">
        <v>0</v>
      </c>
      <c r="AA623" s="351">
        <v>0</v>
      </c>
      <c r="AB623" s="351">
        <v>0</v>
      </c>
      <c r="AC623" s="351">
        <v>0</v>
      </c>
      <c r="AD623" s="351">
        <v>0</v>
      </c>
      <c r="AE623" s="351">
        <v>0</v>
      </c>
      <c r="AF623" s="351">
        <v>0</v>
      </c>
      <c r="AG623" s="351">
        <v>0</v>
      </c>
      <c r="AH623" s="351">
        <v>0</v>
      </c>
      <c r="AI623" s="351">
        <v>0</v>
      </c>
      <c r="AJ623" s="351">
        <f t="shared" si="320"/>
        <v>54525.24</v>
      </c>
      <c r="AK623" s="351">
        <f t="shared" si="321"/>
        <v>27262.62</v>
      </c>
      <c r="AL623" s="351">
        <v>0</v>
      </c>
      <c r="AM623" s="352"/>
      <c r="AN623" s="352"/>
    </row>
    <row r="624" spans="1:40" s="19" customFormat="1" ht="24.75" hidden="1" customHeight="1">
      <c r="A624" s="599" t="s">
        <v>348</v>
      </c>
      <c r="B624" s="599"/>
      <c r="C624" s="348">
        <f>SUM(C622:C623)</f>
        <v>907</v>
      </c>
      <c r="D624" s="248"/>
      <c r="E624" s="225"/>
      <c r="F624" s="225"/>
      <c r="G624" s="348">
        <f>SUM(G622:G623)</f>
        <v>2726262</v>
      </c>
      <c r="H624" s="348">
        <f t="shared" ref="H624:AL624" si="322">SUM(H622:H623)</f>
        <v>0</v>
      </c>
      <c r="I624" s="348">
        <f t="shared" si="322"/>
        <v>0</v>
      </c>
      <c r="J624" s="348">
        <f t="shared" si="322"/>
        <v>0</v>
      </c>
      <c r="K624" s="348">
        <f t="shared" si="322"/>
        <v>0</v>
      </c>
      <c r="L624" s="348">
        <f t="shared" si="322"/>
        <v>0</v>
      </c>
      <c r="M624" s="348">
        <f t="shared" si="322"/>
        <v>0</v>
      </c>
      <c r="N624" s="348">
        <f t="shared" si="322"/>
        <v>0</v>
      </c>
      <c r="O624" s="348">
        <f t="shared" si="322"/>
        <v>0</v>
      </c>
      <c r="P624" s="348">
        <f t="shared" si="322"/>
        <v>0</v>
      </c>
      <c r="Q624" s="348">
        <f t="shared" si="322"/>
        <v>0</v>
      </c>
      <c r="R624" s="348">
        <f t="shared" si="322"/>
        <v>0</v>
      </c>
      <c r="S624" s="348">
        <f t="shared" si="322"/>
        <v>0</v>
      </c>
      <c r="T624" s="44">
        <f t="shared" si="322"/>
        <v>0</v>
      </c>
      <c r="U624" s="348">
        <f t="shared" si="322"/>
        <v>0</v>
      </c>
      <c r="V624" s="225" t="s">
        <v>387</v>
      </c>
      <c r="W624" s="348">
        <f t="shared" si="322"/>
        <v>843</v>
      </c>
      <c r="X624" s="348">
        <f t="shared" si="322"/>
        <v>2603580.21</v>
      </c>
      <c r="Y624" s="348">
        <f t="shared" si="322"/>
        <v>0</v>
      </c>
      <c r="Z624" s="348">
        <f t="shared" si="322"/>
        <v>0</v>
      </c>
      <c r="AA624" s="348">
        <f t="shared" si="322"/>
        <v>0</v>
      </c>
      <c r="AB624" s="348">
        <f t="shared" si="322"/>
        <v>0</v>
      </c>
      <c r="AC624" s="348">
        <f t="shared" si="322"/>
        <v>0</v>
      </c>
      <c r="AD624" s="348">
        <f t="shared" si="322"/>
        <v>0</v>
      </c>
      <c r="AE624" s="348">
        <f t="shared" si="322"/>
        <v>0</v>
      </c>
      <c r="AF624" s="348">
        <f t="shared" si="322"/>
        <v>0</v>
      </c>
      <c r="AG624" s="348">
        <f t="shared" si="322"/>
        <v>0</v>
      </c>
      <c r="AH624" s="348">
        <f t="shared" si="322"/>
        <v>0</v>
      </c>
      <c r="AI624" s="348">
        <f t="shared" si="322"/>
        <v>0</v>
      </c>
      <c r="AJ624" s="348">
        <f t="shared" si="322"/>
        <v>81787.86</v>
      </c>
      <c r="AK624" s="348">
        <f t="shared" si="322"/>
        <v>40893.93</v>
      </c>
      <c r="AL624" s="348">
        <f t="shared" si="322"/>
        <v>0</v>
      </c>
      <c r="AM624" s="352"/>
      <c r="AN624" s="352"/>
    </row>
    <row r="625" spans="1:40" s="19" customFormat="1" ht="12" hidden="1" customHeight="1">
      <c r="A625" s="519" t="s">
        <v>429</v>
      </c>
      <c r="B625" s="520"/>
      <c r="C625" s="520"/>
      <c r="D625" s="520"/>
      <c r="E625" s="520"/>
      <c r="F625" s="520"/>
      <c r="G625" s="520"/>
      <c r="H625" s="520"/>
      <c r="I625" s="520"/>
      <c r="J625" s="520"/>
      <c r="K625" s="520"/>
      <c r="L625" s="520"/>
      <c r="M625" s="520"/>
      <c r="N625" s="520"/>
      <c r="O625" s="520"/>
      <c r="P625" s="520"/>
      <c r="Q625" s="520"/>
      <c r="R625" s="520"/>
      <c r="S625" s="520"/>
      <c r="T625" s="520"/>
      <c r="U625" s="520"/>
      <c r="V625" s="520"/>
      <c r="W625" s="520"/>
      <c r="X625" s="520"/>
      <c r="Y625" s="520"/>
      <c r="Z625" s="520"/>
      <c r="AA625" s="520"/>
      <c r="AB625" s="520"/>
      <c r="AC625" s="520"/>
      <c r="AD625" s="520"/>
      <c r="AE625" s="520"/>
      <c r="AF625" s="520"/>
      <c r="AG625" s="520"/>
      <c r="AH625" s="520"/>
      <c r="AI625" s="520"/>
      <c r="AJ625" s="520"/>
      <c r="AK625" s="520"/>
      <c r="AL625" s="521"/>
      <c r="AM625" s="352"/>
      <c r="AN625" s="352"/>
    </row>
    <row r="626" spans="1:40" s="19" customFormat="1" ht="9" hidden="1" customHeight="1">
      <c r="A626" s="96">
        <v>218</v>
      </c>
      <c r="B626" s="97" t="s">
        <v>922</v>
      </c>
      <c r="C626" s="99">
        <v>851.45</v>
      </c>
      <c r="D626" s="343"/>
      <c r="E626" s="99"/>
      <c r="F626" s="99"/>
      <c r="G626" s="99">
        <v>258031.92</v>
      </c>
      <c r="H626" s="348">
        <f t="shared" ref="H626:H628" si="323">I626+K626+M626+O626+Q626+S626</f>
        <v>246420.48000000001</v>
      </c>
      <c r="I626" s="129">
        <v>0</v>
      </c>
      <c r="J626" s="129">
        <v>0</v>
      </c>
      <c r="K626" s="129">
        <v>0</v>
      </c>
      <c r="L626" s="129">
        <v>121.5</v>
      </c>
      <c r="M626" s="129">
        <f>ROUND(0.955*(C626*303.05)-0.01,2)</f>
        <v>246420.48000000001</v>
      </c>
      <c r="N626" s="348">
        <v>0</v>
      </c>
      <c r="O626" s="348">
        <v>0</v>
      </c>
      <c r="P626" s="348">
        <v>0</v>
      </c>
      <c r="Q626" s="348">
        <v>0</v>
      </c>
      <c r="R626" s="348">
        <v>0</v>
      </c>
      <c r="S626" s="348">
        <v>0</v>
      </c>
      <c r="T626" s="44">
        <v>0</v>
      </c>
      <c r="U626" s="348">
        <v>0</v>
      </c>
      <c r="V626" s="225"/>
      <c r="W626" s="16">
        <v>0</v>
      </c>
      <c r="X626" s="348">
        <v>0</v>
      </c>
      <c r="Y626" s="351">
        <v>0</v>
      </c>
      <c r="Z626" s="351">
        <v>0</v>
      </c>
      <c r="AA626" s="351">
        <v>0</v>
      </c>
      <c r="AB626" s="351">
        <v>0</v>
      </c>
      <c r="AC626" s="351">
        <v>0</v>
      </c>
      <c r="AD626" s="351">
        <v>0</v>
      </c>
      <c r="AE626" s="351">
        <v>0</v>
      </c>
      <c r="AF626" s="351">
        <v>0</v>
      </c>
      <c r="AG626" s="351">
        <v>0</v>
      </c>
      <c r="AH626" s="351">
        <v>0</v>
      </c>
      <c r="AI626" s="351">
        <v>0</v>
      </c>
      <c r="AJ626" s="351">
        <f>ROUND(0.03*303.05*C626,2)</f>
        <v>7740.96</v>
      </c>
      <c r="AK626" s="351">
        <f>ROUND(0.015*303.05*C626,2)</f>
        <v>3870.48</v>
      </c>
      <c r="AL626" s="351">
        <v>0</v>
      </c>
      <c r="AM626" s="352"/>
      <c r="AN626" s="352"/>
    </row>
    <row r="627" spans="1:40" s="19" customFormat="1" ht="9" hidden="1" customHeight="1">
      <c r="A627" s="96">
        <v>219</v>
      </c>
      <c r="B627" s="97" t="s">
        <v>923</v>
      </c>
      <c r="C627" s="99">
        <v>869.8</v>
      </c>
      <c r="D627" s="343">
        <v>73.2</v>
      </c>
      <c r="E627" s="99"/>
      <c r="F627" s="99"/>
      <c r="G627" s="99">
        <v>2193489.5</v>
      </c>
      <c r="H627" s="348">
        <f t="shared" si="323"/>
        <v>559075.05000000005</v>
      </c>
      <c r="I627" s="129">
        <f>ROUND(0.955*(C627*370)+0.01,2)</f>
        <v>307343.84000000003</v>
      </c>
      <c r="J627" s="129">
        <v>0</v>
      </c>
      <c r="K627" s="129">
        <v>0</v>
      </c>
      <c r="L627" s="129">
        <v>0</v>
      </c>
      <c r="M627" s="129">
        <f>ROUND(0.955*(C627*303.05),2)</f>
        <v>251731.21</v>
      </c>
      <c r="N627" s="348">
        <v>0</v>
      </c>
      <c r="O627" s="348">
        <v>0</v>
      </c>
      <c r="P627" s="348">
        <v>0</v>
      </c>
      <c r="Q627" s="348">
        <v>0</v>
      </c>
      <c r="R627" s="348">
        <v>0</v>
      </c>
      <c r="S627" s="348">
        <v>0</v>
      </c>
      <c r="T627" s="44">
        <v>0</v>
      </c>
      <c r="U627" s="348">
        <v>0</v>
      </c>
      <c r="V627" s="225"/>
      <c r="W627" s="16">
        <v>0</v>
      </c>
      <c r="X627" s="348">
        <v>0</v>
      </c>
      <c r="Y627" s="351">
        <v>0</v>
      </c>
      <c r="Z627" s="351">
        <v>0</v>
      </c>
      <c r="AA627" s="351">
        <v>741.6</v>
      </c>
      <c r="AB627" s="351">
        <f>ROUND(0.955*2168.38*AA627,2)</f>
        <v>1535707.43</v>
      </c>
      <c r="AC627" s="351">
        <v>0</v>
      </c>
      <c r="AD627" s="351">
        <v>0</v>
      </c>
      <c r="AE627" s="351">
        <v>0</v>
      </c>
      <c r="AF627" s="351">
        <v>0</v>
      </c>
      <c r="AG627" s="351">
        <v>0</v>
      </c>
      <c r="AH627" s="351">
        <v>0</v>
      </c>
      <c r="AI627" s="351">
        <v>0</v>
      </c>
      <c r="AJ627" s="351">
        <f>ROUND(0.03*((370+303.05)*C627+2168.38*AA627),2)</f>
        <v>65804.679999999993</v>
      </c>
      <c r="AK627" s="351">
        <f>ROUND(0.015*((370+303.05)*C627+2168.38*AA627),2)</f>
        <v>32902.339999999997</v>
      </c>
      <c r="AL627" s="351">
        <v>0</v>
      </c>
      <c r="AM627" s="352"/>
      <c r="AN627" s="352"/>
    </row>
    <row r="628" spans="1:40" s="19" customFormat="1" ht="9" hidden="1" customHeight="1">
      <c r="A628" s="96">
        <v>220</v>
      </c>
      <c r="B628" s="97" t="s">
        <v>924</v>
      </c>
      <c r="C628" s="99">
        <v>893</v>
      </c>
      <c r="D628" s="343"/>
      <c r="E628" s="99"/>
      <c r="F628" s="99"/>
      <c r="G628" s="99">
        <v>270623.65000000002</v>
      </c>
      <c r="H628" s="348">
        <f t="shared" si="323"/>
        <v>258445.59</v>
      </c>
      <c r="I628" s="129">
        <v>0</v>
      </c>
      <c r="J628" s="129">
        <v>0</v>
      </c>
      <c r="K628" s="129">
        <v>0</v>
      </c>
      <c r="L628" s="129">
        <v>120.5</v>
      </c>
      <c r="M628" s="129">
        <f>ROUND(0.955*(C628*303.05),2)</f>
        <v>258445.59</v>
      </c>
      <c r="N628" s="348">
        <v>0</v>
      </c>
      <c r="O628" s="348">
        <v>0</v>
      </c>
      <c r="P628" s="348">
        <v>0</v>
      </c>
      <c r="Q628" s="348">
        <v>0</v>
      </c>
      <c r="R628" s="348">
        <v>0</v>
      </c>
      <c r="S628" s="348">
        <v>0</v>
      </c>
      <c r="T628" s="44">
        <v>0</v>
      </c>
      <c r="U628" s="348">
        <v>0</v>
      </c>
      <c r="V628" s="225"/>
      <c r="W628" s="16">
        <v>0</v>
      </c>
      <c r="X628" s="348">
        <v>0</v>
      </c>
      <c r="Y628" s="351">
        <v>0</v>
      </c>
      <c r="Z628" s="351">
        <v>0</v>
      </c>
      <c r="AA628" s="351">
        <v>0</v>
      </c>
      <c r="AB628" s="351">
        <v>0</v>
      </c>
      <c r="AC628" s="351">
        <v>0</v>
      </c>
      <c r="AD628" s="351">
        <v>0</v>
      </c>
      <c r="AE628" s="351">
        <v>0</v>
      </c>
      <c r="AF628" s="351">
        <v>0</v>
      </c>
      <c r="AG628" s="351">
        <v>0</v>
      </c>
      <c r="AH628" s="351">
        <v>0</v>
      </c>
      <c r="AI628" s="351">
        <v>0</v>
      </c>
      <c r="AJ628" s="351">
        <f>ROUND(0.03*303.05*C628,2)</f>
        <v>8118.71</v>
      </c>
      <c r="AK628" s="351">
        <f>ROUND(0.015*303.05*C628,2)</f>
        <v>4059.35</v>
      </c>
      <c r="AL628" s="351">
        <v>0</v>
      </c>
      <c r="AM628" s="352"/>
      <c r="AN628" s="352"/>
    </row>
    <row r="629" spans="1:40" s="19" customFormat="1" ht="37.5" hidden="1" customHeight="1">
      <c r="A629" s="608" t="s">
        <v>430</v>
      </c>
      <c r="B629" s="608"/>
      <c r="C629" s="101">
        <f>SUM(C626:C628)</f>
        <v>2614.25</v>
      </c>
      <c r="D629" s="250"/>
      <c r="E629" s="101"/>
      <c r="F629" s="101"/>
      <c r="G629" s="101">
        <f>SUM(G626:G628)</f>
        <v>2722145.07</v>
      </c>
      <c r="H629" s="101">
        <f t="shared" ref="H629:AL629" si="324">SUM(H626:H628)</f>
        <v>1063941.1200000001</v>
      </c>
      <c r="I629" s="101">
        <f t="shared" si="324"/>
        <v>307343.84000000003</v>
      </c>
      <c r="J629" s="101">
        <f t="shared" si="324"/>
        <v>0</v>
      </c>
      <c r="K629" s="101">
        <f t="shared" si="324"/>
        <v>0</v>
      </c>
      <c r="L629" s="101">
        <f t="shared" si="324"/>
        <v>242</v>
      </c>
      <c r="M629" s="101">
        <f t="shared" si="324"/>
        <v>756597.28</v>
      </c>
      <c r="N629" s="101">
        <f t="shared" si="324"/>
        <v>0</v>
      </c>
      <c r="O629" s="101">
        <f t="shared" si="324"/>
        <v>0</v>
      </c>
      <c r="P629" s="101">
        <f t="shared" si="324"/>
        <v>0</v>
      </c>
      <c r="Q629" s="101">
        <f t="shared" si="324"/>
        <v>0</v>
      </c>
      <c r="R629" s="101">
        <f t="shared" si="324"/>
        <v>0</v>
      </c>
      <c r="S629" s="101">
        <f t="shared" si="324"/>
        <v>0</v>
      </c>
      <c r="T629" s="131">
        <f t="shared" si="324"/>
        <v>0</v>
      </c>
      <c r="U629" s="101">
        <f t="shared" si="324"/>
        <v>0</v>
      </c>
      <c r="V629" s="101" t="s">
        <v>387</v>
      </c>
      <c r="W629" s="101">
        <f t="shared" si="324"/>
        <v>0</v>
      </c>
      <c r="X629" s="101">
        <f t="shared" si="324"/>
        <v>0</v>
      </c>
      <c r="Y629" s="101">
        <f t="shared" si="324"/>
        <v>0</v>
      </c>
      <c r="Z629" s="101">
        <f t="shared" si="324"/>
        <v>0</v>
      </c>
      <c r="AA629" s="101">
        <f t="shared" si="324"/>
        <v>741.6</v>
      </c>
      <c r="AB629" s="101">
        <f t="shared" si="324"/>
        <v>1535707.43</v>
      </c>
      <c r="AC629" s="101">
        <f t="shared" si="324"/>
        <v>0</v>
      </c>
      <c r="AD629" s="101">
        <f t="shared" si="324"/>
        <v>0</v>
      </c>
      <c r="AE629" s="101">
        <f t="shared" si="324"/>
        <v>0</v>
      </c>
      <c r="AF629" s="101">
        <f t="shared" si="324"/>
        <v>0</v>
      </c>
      <c r="AG629" s="101">
        <f t="shared" si="324"/>
        <v>0</v>
      </c>
      <c r="AH629" s="101">
        <f t="shared" si="324"/>
        <v>0</v>
      </c>
      <c r="AI629" s="101">
        <f t="shared" si="324"/>
        <v>0</v>
      </c>
      <c r="AJ629" s="101">
        <f t="shared" si="324"/>
        <v>81664.350000000006</v>
      </c>
      <c r="AK629" s="101">
        <f t="shared" si="324"/>
        <v>40832.17</v>
      </c>
      <c r="AL629" s="101">
        <f t="shared" si="324"/>
        <v>0</v>
      </c>
      <c r="AM629" s="352"/>
      <c r="AN629" s="352"/>
    </row>
    <row r="630" spans="1:40" s="19" customFormat="1" ht="11.25" hidden="1" customHeight="1">
      <c r="A630" s="514" t="s">
        <v>929</v>
      </c>
      <c r="B630" s="515"/>
      <c r="C630" s="515"/>
      <c r="D630" s="515"/>
      <c r="E630" s="515"/>
      <c r="F630" s="515"/>
      <c r="G630" s="515"/>
      <c r="H630" s="515"/>
      <c r="I630" s="515"/>
      <c r="J630" s="515"/>
      <c r="K630" s="515"/>
      <c r="L630" s="515"/>
      <c r="M630" s="515"/>
      <c r="N630" s="515"/>
      <c r="O630" s="515"/>
      <c r="P630" s="515"/>
      <c r="Q630" s="515"/>
      <c r="R630" s="515"/>
      <c r="S630" s="515"/>
      <c r="T630" s="515"/>
      <c r="U630" s="515"/>
      <c r="V630" s="515"/>
      <c r="W630" s="515"/>
      <c r="X630" s="515"/>
      <c r="Y630" s="515"/>
      <c r="Z630" s="515"/>
      <c r="AA630" s="515"/>
      <c r="AB630" s="515"/>
      <c r="AC630" s="515"/>
      <c r="AD630" s="515"/>
      <c r="AE630" s="515"/>
      <c r="AF630" s="515"/>
      <c r="AG630" s="515"/>
      <c r="AH630" s="515"/>
      <c r="AI630" s="515"/>
      <c r="AJ630" s="515"/>
      <c r="AK630" s="515"/>
      <c r="AL630" s="516"/>
      <c r="AM630" s="352"/>
      <c r="AN630" s="352"/>
    </row>
    <row r="631" spans="1:40" s="19" customFormat="1" ht="9" hidden="1" customHeight="1">
      <c r="A631" s="96">
        <v>221</v>
      </c>
      <c r="B631" s="347" t="s">
        <v>930</v>
      </c>
      <c r="C631" s="101">
        <v>493.7</v>
      </c>
      <c r="D631" s="343"/>
      <c r="E631" s="101"/>
      <c r="F631" s="101"/>
      <c r="G631" s="101">
        <v>1203048</v>
      </c>
      <c r="H631" s="348">
        <f t="shared" ref="H631" si="325">I631+K631+M631+O631+Q631+S631</f>
        <v>0</v>
      </c>
      <c r="I631" s="129">
        <v>0</v>
      </c>
      <c r="J631" s="129">
        <v>0</v>
      </c>
      <c r="K631" s="129">
        <v>0</v>
      </c>
      <c r="L631" s="129">
        <v>0</v>
      </c>
      <c r="M631" s="129">
        <v>0</v>
      </c>
      <c r="N631" s="348">
        <v>0</v>
      </c>
      <c r="O631" s="348">
        <v>0</v>
      </c>
      <c r="P631" s="348">
        <v>0</v>
      </c>
      <c r="Q631" s="348">
        <v>0</v>
      </c>
      <c r="R631" s="348">
        <v>0</v>
      </c>
      <c r="S631" s="348">
        <v>0</v>
      </c>
      <c r="T631" s="44">
        <v>0</v>
      </c>
      <c r="U631" s="348">
        <v>0</v>
      </c>
      <c r="V631" s="225" t="s">
        <v>998</v>
      </c>
      <c r="W631" s="17">
        <v>372</v>
      </c>
      <c r="X631" s="348">
        <f t="shared" ref="X631" si="326">ROUND(G631/100*95.5,2)</f>
        <v>1148910.8400000001</v>
      </c>
      <c r="Y631" s="351">
        <v>0</v>
      </c>
      <c r="Z631" s="351">
        <v>0</v>
      </c>
      <c r="AA631" s="351">
        <v>0</v>
      </c>
      <c r="AB631" s="351">
        <v>0</v>
      </c>
      <c r="AC631" s="351">
        <v>0</v>
      </c>
      <c r="AD631" s="351">
        <v>0</v>
      </c>
      <c r="AE631" s="351">
        <v>0</v>
      </c>
      <c r="AF631" s="351">
        <v>0</v>
      </c>
      <c r="AG631" s="351">
        <v>0</v>
      </c>
      <c r="AH631" s="351">
        <v>0</v>
      </c>
      <c r="AI631" s="351">
        <v>0</v>
      </c>
      <c r="AJ631" s="351">
        <f t="shared" ref="AJ631" si="327">ROUND(G631/100*3,2)</f>
        <v>36091.440000000002</v>
      </c>
      <c r="AK631" s="351">
        <f t="shared" ref="AK631" si="328">ROUND(G631/100*1.5,2)</f>
        <v>18045.72</v>
      </c>
      <c r="AL631" s="351">
        <v>0</v>
      </c>
      <c r="AM631" s="352"/>
      <c r="AN631" s="352"/>
    </row>
    <row r="632" spans="1:40" s="19" customFormat="1" ht="36.75" hidden="1" customHeight="1">
      <c r="A632" s="608" t="s">
        <v>931</v>
      </c>
      <c r="B632" s="608"/>
      <c r="C632" s="101">
        <f>SUM(C631)</f>
        <v>493.7</v>
      </c>
      <c r="D632" s="250"/>
      <c r="E632" s="101"/>
      <c r="F632" s="101"/>
      <c r="G632" s="101">
        <f>SUM(G631)</f>
        <v>1203048</v>
      </c>
      <c r="H632" s="101">
        <f t="shared" ref="H632:AN632" si="329">SUM(H631)</f>
        <v>0</v>
      </c>
      <c r="I632" s="101">
        <f t="shared" si="329"/>
        <v>0</v>
      </c>
      <c r="J632" s="101">
        <f t="shared" si="329"/>
        <v>0</v>
      </c>
      <c r="K632" s="101">
        <f t="shared" si="329"/>
        <v>0</v>
      </c>
      <c r="L632" s="101">
        <f t="shared" si="329"/>
        <v>0</v>
      </c>
      <c r="M632" s="101">
        <f t="shared" si="329"/>
        <v>0</v>
      </c>
      <c r="N632" s="101">
        <f t="shared" si="329"/>
        <v>0</v>
      </c>
      <c r="O632" s="101">
        <f t="shared" si="329"/>
        <v>0</v>
      </c>
      <c r="P632" s="101">
        <f t="shared" si="329"/>
        <v>0</v>
      </c>
      <c r="Q632" s="101">
        <f t="shared" si="329"/>
        <v>0</v>
      </c>
      <c r="R632" s="101">
        <f t="shared" si="329"/>
        <v>0</v>
      </c>
      <c r="S632" s="101">
        <f t="shared" si="329"/>
        <v>0</v>
      </c>
      <c r="T632" s="131">
        <f t="shared" si="329"/>
        <v>0</v>
      </c>
      <c r="U632" s="101">
        <f t="shared" si="329"/>
        <v>0</v>
      </c>
      <c r="V632" s="101" t="s">
        <v>387</v>
      </c>
      <c r="W632" s="101">
        <f t="shared" si="329"/>
        <v>372</v>
      </c>
      <c r="X632" s="101">
        <f t="shared" si="329"/>
        <v>1148910.8400000001</v>
      </c>
      <c r="Y632" s="101">
        <f t="shared" si="329"/>
        <v>0</v>
      </c>
      <c r="Z632" s="101">
        <f t="shared" si="329"/>
        <v>0</v>
      </c>
      <c r="AA632" s="101">
        <f t="shared" si="329"/>
        <v>0</v>
      </c>
      <c r="AB632" s="101">
        <f t="shared" si="329"/>
        <v>0</v>
      </c>
      <c r="AC632" s="101">
        <f t="shared" si="329"/>
        <v>0</v>
      </c>
      <c r="AD632" s="101">
        <f t="shared" si="329"/>
        <v>0</v>
      </c>
      <c r="AE632" s="101">
        <f t="shared" si="329"/>
        <v>0</v>
      </c>
      <c r="AF632" s="101">
        <f t="shared" si="329"/>
        <v>0</v>
      </c>
      <c r="AG632" s="101">
        <f t="shared" si="329"/>
        <v>0</v>
      </c>
      <c r="AH632" s="101">
        <f t="shared" si="329"/>
        <v>0</v>
      </c>
      <c r="AI632" s="101">
        <f t="shared" si="329"/>
        <v>0</v>
      </c>
      <c r="AJ632" s="101">
        <f t="shared" si="329"/>
        <v>36091.440000000002</v>
      </c>
      <c r="AK632" s="101">
        <f t="shared" si="329"/>
        <v>18045.72</v>
      </c>
      <c r="AL632" s="101">
        <f t="shared" si="329"/>
        <v>0</v>
      </c>
      <c r="AM632" s="101">
        <f t="shared" si="329"/>
        <v>0</v>
      </c>
      <c r="AN632" s="101">
        <f t="shared" si="329"/>
        <v>0</v>
      </c>
    </row>
    <row r="633" spans="1:40" s="19" customFormat="1" ht="12" hidden="1" customHeight="1">
      <c r="A633" s="519" t="s">
        <v>358</v>
      </c>
      <c r="B633" s="520"/>
      <c r="C633" s="520"/>
      <c r="D633" s="520"/>
      <c r="E633" s="520"/>
      <c r="F633" s="520"/>
      <c r="G633" s="520"/>
      <c r="H633" s="520"/>
      <c r="I633" s="520"/>
      <c r="J633" s="520"/>
      <c r="K633" s="520"/>
      <c r="L633" s="520"/>
      <c r="M633" s="520"/>
      <c r="N633" s="520"/>
      <c r="O633" s="520"/>
      <c r="P633" s="520"/>
      <c r="Q633" s="520"/>
      <c r="R633" s="520"/>
      <c r="S633" s="520"/>
      <c r="T633" s="520"/>
      <c r="U633" s="520"/>
      <c r="V633" s="520"/>
      <c r="W633" s="520"/>
      <c r="X633" s="520"/>
      <c r="Y633" s="520"/>
      <c r="Z633" s="520"/>
      <c r="AA633" s="520"/>
      <c r="AB633" s="520"/>
      <c r="AC633" s="520"/>
      <c r="AD633" s="520"/>
      <c r="AE633" s="520"/>
      <c r="AF633" s="520"/>
      <c r="AG633" s="520"/>
      <c r="AH633" s="520"/>
      <c r="AI633" s="520"/>
      <c r="AJ633" s="520"/>
      <c r="AK633" s="520"/>
      <c r="AL633" s="521"/>
      <c r="AM633" s="352"/>
      <c r="AN633" s="352"/>
    </row>
    <row r="634" spans="1:40" s="19" customFormat="1" ht="9" hidden="1" customHeight="1">
      <c r="A634" s="349">
        <v>222</v>
      </c>
      <c r="B634" s="68" t="s">
        <v>1023</v>
      </c>
      <c r="C634" s="348">
        <v>876.1</v>
      </c>
      <c r="D634" s="343"/>
      <c r="E634" s="348"/>
      <c r="F634" s="348"/>
      <c r="G634" s="348">
        <v>3027024</v>
      </c>
      <c r="H634" s="348">
        <f t="shared" ref="H634:H635" si="330">I634+K634+M634+O634+Q634+S634</f>
        <v>0</v>
      </c>
      <c r="I634" s="129">
        <v>0</v>
      </c>
      <c r="J634" s="129">
        <v>0</v>
      </c>
      <c r="K634" s="129">
        <v>0</v>
      </c>
      <c r="L634" s="129">
        <v>0</v>
      </c>
      <c r="M634" s="129">
        <v>0</v>
      </c>
      <c r="N634" s="348">
        <v>0</v>
      </c>
      <c r="O634" s="348">
        <v>0</v>
      </c>
      <c r="P634" s="348">
        <v>0</v>
      </c>
      <c r="Q634" s="348">
        <v>0</v>
      </c>
      <c r="R634" s="348">
        <v>0</v>
      </c>
      <c r="S634" s="348">
        <v>0</v>
      </c>
      <c r="T634" s="44">
        <v>0</v>
      </c>
      <c r="U634" s="348">
        <v>0</v>
      </c>
      <c r="V634" s="225" t="s">
        <v>998</v>
      </c>
      <c r="W634" s="351">
        <v>936</v>
      </c>
      <c r="X634" s="348">
        <f t="shared" ref="X634:X635" si="331">ROUND(G634/100*95.5,2)</f>
        <v>2890807.92</v>
      </c>
      <c r="Y634" s="351">
        <v>0</v>
      </c>
      <c r="Z634" s="351">
        <v>0</v>
      </c>
      <c r="AA634" s="351">
        <v>0</v>
      </c>
      <c r="AB634" s="351">
        <v>0</v>
      </c>
      <c r="AC634" s="351">
        <v>0</v>
      </c>
      <c r="AD634" s="351">
        <v>0</v>
      </c>
      <c r="AE634" s="351">
        <v>0</v>
      </c>
      <c r="AF634" s="351">
        <v>0</v>
      </c>
      <c r="AG634" s="351">
        <v>0</v>
      </c>
      <c r="AH634" s="351">
        <v>0</v>
      </c>
      <c r="AI634" s="351">
        <v>0</v>
      </c>
      <c r="AJ634" s="351">
        <f t="shared" ref="AJ634:AJ635" si="332">ROUND(G634/100*3,2)</f>
        <v>90810.72</v>
      </c>
      <c r="AK634" s="351">
        <f t="shared" ref="AK634:AK635" si="333">ROUND(G634/100*1.5,2)</f>
        <v>45405.36</v>
      </c>
      <c r="AL634" s="351">
        <v>0</v>
      </c>
      <c r="AM634" s="352"/>
      <c r="AN634" s="352"/>
    </row>
    <row r="635" spans="1:40" s="19" customFormat="1" ht="9" hidden="1" customHeight="1">
      <c r="A635" s="349">
        <v>223</v>
      </c>
      <c r="B635" s="68" t="s">
        <v>1024</v>
      </c>
      <c r="C635" s="348">
        <v>504.53</v>
      </c>
      <c r="D635" s="343"/>
      <c r="E635" s="348"/>
      <c r="F635" s="348"/>
      <c r="G635" s="348">
        <v>1649340</v>
      </c>
      <c r="H635" s="348">
        <f t="shared" si="330"/>
        <v>0</v>
      </c>
      <c r="I635" s="129">
        <v>0</v>
      </c>
      <c r="J635" s="129">
        <v>0</v>
      </c>
      <c r="K635" s="129">
        <v>0</v>
      </c>
      <c r="L635" s="129">
        <v>0</v>
      </c>
      <c r="M635" s="129">
        <v>0</v>
      </c>
      <c r="N635" s="348">
        <v>0</v>
      </c>
      <c r="O635" s="348">
        <v>0</v>
      </c>
      <c r="P635" s="348">
        <v>0</v>
      </c>
      <c r="Q635" s="348">
        <v>0</v>
      </c>
      <c r="R635" s="348">
        <v>0</v>
      </c>
      <c r="S635" s="348">
        <v>0</v>
      </c>
      <c r="T635" s="44">
        <v>0</v>
      </c>
      <c r="U635" s="348">
        <v>0</v>
      </c>
      <c r="V635" s="225" t="s">
        <v>998</v>
      </c>
      <c r="W635" s="351">
        <v>510</v>
      </c>
      <c r="X635" s="348">
        <f t="shared" si="331"/>
        <v>1575119.7</v>
      </c>
      <c r="Y635" s="351">
        <v>0</v>
      </c>
      <c r="Z635" s="351">
        <v>0</v>
      </c>
      <c r="AA635" s="351">
        <v>0</v>
      </c>
      <c r="AB635" s="351">
        <v>0</v>
      </c>
      <c r="AC635" s="351">
        <v>0</v>
      </c>
      <c r="AD635" s="351">
        <v>0</v>
      </c>
      <c r="AE635" s="351">
        <v>0</v>
      </c>
      <c r="AF635" s="351">
        <v>0</v>
      </c>
      <c r="AG635" s="351">
        <v>0</v>
      </c>
      <c r="AH635" s="351">
        <v>0</v>
      </c>
      <c r="AI635" s="351">
        <v>0</v>
      </c>
      <c r="AJ635" s="351">
        <f t="shared" si="332"/>
        <v>49480.2</v>
      </c>
      <c r="AK635" s="351">
        <f t="shared" si="333"/>
        <v>24740.1</v>
      </c>
      <c r="AL635" s="351">
        <v>0</v>
      </c>
      <c r="AM635" s="352"/>
      <c r="AN635" s="352"/>
    </row>
    <row r="636" spans="1:40" s="19" customFormat="1" ht="35.25" hidden="1" customHeight="1">
      <c r="A636" s="599" t="s">
        <v>446</v>
      </c>
      <c r="B636" s="599"/>
      <c r="C636" s="348">
        <f>SUM(C634:C635)</f>
        <v>1380.63</v>
      </c>
      <c r="D636" s="248"/>
      <c r="E636" s="225"/>
      <c r="F636" s="225"/>
      <c r="G636" s="348">
        <f>SUM(G634:G635)</f>
        <v>4676364</v>
      </c>
      <c r="H636" s="348">
        <f t="shared" ref="H636:AN636" si="334">SUM(H634:H635)</f>
        <v>0</v>
      </c>
      <c r="I636" s="348">
        <f t="shared" si="334"/>
        <v>0</v>
      </c>
      <c r="J636" s="348">
        <f t="shared" si="334"/>
        <v>0</v>
      </c>
      <c r="K636" s="348">
        <f t="shared" si="334"/>
        <v>0</v>
      </c>
      <c r="L636" s="348">
        <f t="shared" si="334"/>
        <v>0</v>
      </c>
      <c r="M636" s="348">
        <f t="shared" si="334"/>
        <v>0</v>
      </c>
      <c r="N636" s="348">
        <f t="shared" si="334"/>
        <v>0</v>
      </c>
      <c r="O636" s="348">
        <f t="shared" si="334"/>
        <v>0</v>
      </c>
      <c r="P636" s="348">
        <f t="shared" si="334"/>
        <v>0</v>
      </c>
      <c r="Q636" s="348">
        <f t="shared" si="334"/>
        <v>0</v>
      </c>
      <c r="R636" s="348">
        <f t="shared" si="334"/>
        <v>0</v>
      </c>
      <c r="S636" s="348">
        <f t="shared" si="334"/>
        <v>0</v>
      </c>
      <c r="T636" s="44">
        <f t="shared" si="334"/>
        <v>0</v>
      </c>
      <c r="U636" s="348">
        <f t="shared" si="334"/>
        <v>0</v>
      </c>
      <c r="V636" s="225" t="s">
        <v>387</v>
      </c>
      <c r="W636" s="348">
        <f t="shared" si="334"/>
        <v>1446</v>
      </c>
      <c r="X636" s="348">
        <f t="shared" si="334"/>
        <v>4465927.62</v>
      </c>
      <c r="Y636" s="348">
        <f t="shared" si="334"/>
        <v>0</v>
      </c>
      <c r="Z636" s="348">
        <f t="shared" si="334"/>
        <v>0</v>
      </c>
      <c r="AA636" s="348">
        <f t="shared" si="334"/>
        <v>0</v>
      </c>
      <c r="AB636" s="348">
        <f t="shared" si="334"/>
        <v>0</v>
      </c>
      <c r="AC636" s="348">
        <f t="shared" si="334"/>
        <v>0</v>
      </c>
      <c r="AD636" s="348">
        <f t="shared" si="334"/>
        <v>0</v>
      </c>
      <c r="AE636" s="348">
        <f t="shared" si="334"/>
        <v>0</v>
      </c>
      <c r="AF636" s="348">
        <f t="shared" si="334"/>
        <v>0</v>
      </c>
      <c r="AG636" s="348">
        <f t="shared" si="334"/>
        <v>0</v>
      </c>
      <c r="AH636" s="348">
        <f t="shared" si="334"/>
        <v>0</v>
      </c>
      <c r="AI636" s="348">
        <f t="shared" si="334"/>
        <v>0</v>
      </c>
      <c r="AJ636" s="348">
        <f t="shared" si="334"/>
        <v>140290.91999999998</v>
      </c>
      <c r="AK636" s="348">
        <f t="shared" si="334"/>
        <v>70145.459999999992</v>
      </c>
      <c r="AL636" s="348">
        <f t="shared" si="334"/>
        <v>0</v>
      </c>
      <c r="AM636" s="348">
        <f t="shared" si="334"/>
        <v>0</v>
      </c>
      <c r="AN636" s="348">
        <f t="shared" si="334"/>
        <v>0</v>
      </c>
    </row>
    <row r="637" spans="1:40" s="19" customFormat="1" ht="12.75" hidden="1" customHeight="1">
      <c r="A637" s="519" t="s">
        <v>427</v>
      </c>
      <c r="B637" s="520"/>
      <c r="C637" s="520"/>
      <c r="D637" s="520"/>
      <c r="E637" s="520"/>
      <c r="F637" s="520"/>
      <c r="G637" s="520"/>
      <c r="H637" s="520"/>
      <c r="I637" s="520"/>
      <c r="J637" s="520"/>
      <c r="K637" s="520"/>
      <c r="L637" s="520"/>
      <c r="M637" s="520"/>
      <c r="N637" s="520"/>
      <c r="O637" s="520"/>
      <c r="P637" s="520"/>
      <c r="Q637" s="520"/>
      <c r="R637" s="520"/>
      <c r="S637" s="520"/>
      <c r="T637" s="520"/>
      <c r="U637" s="520"/>
      <c r="V637" s="520"/>
      <c r="W637" s="520"/>
      <c r="X637" s="520"/>
      <c r="Y637" s="520"/>
      <c r="Z637" s="520"/>
      <c r="AA637" s="520"/>
      <c r="AB637" s="520"/>
      <c r="AC637" s="520"/>
      <c r="AD637" s="520"/>
      <c r="AE637" s="520"/>
      <c r="AF637" s="520"/>
      <c r="AG637" s="520"/>
      <c r="AH637" s="520"/>
      <c r="AI637" s="520"/>
      <c r="AJ637" s="520"/>
      <c r="AK637" s="520"/>
      <c r="AL637" s="521"/>
      <c r="AM637" s="352"/>
      <c r="AN637" s="352"/>
    </row>
    <row r="638" spans="1:40" s="19" customFormat="1" ht="9" hidden="1" customHeight="1">
      <c r="A638" s="349">
        <v>224</v>
      </c>
      <c r="B638" s="68" t="s">
        <v>934</v>
      </c>
      <c r="C638" s="348">
        <v>370.4</v>
      </c>
      <c r="D638" s="343"/>
      <c r="E638" s="348"/>
      <c r="F638" s="348"/>
      <c r="G638" s="348">
        <v>1002216.6</v>
      </c>
      <c r="H638" s="348">
        <f t="shared" ref="H638:H639" si="335">I638+K638+M638+O638+Q638+S638</f>
        <v>0</v>
      </c>
      <c r="I638" s="129">
        <v>0</v>
      </c>
      <c r="J638" s="129">
        <v>0</v>
      </c>
      <c r="K638" s="129">
        <v>0</v>
      </c>
      <c r="L638" s="129">
        <v>0</v>
      </c>
      <c r="M638" s="129">
        <v>0</v>
      </c>
      <c r="N638" s="348">
        <v>0</v>
      </c>
      <c r="O638" s="348">
        <v>0</v>
      </c>
      <c r="P638" s="348">
        <v>0</v>
      </c>
      <c r="Q638" s="348">
        <v>0</v>
      </c>
      <c r="R638" s="348">
        <v>0</v>
      </c>
      <c r="S638" s="348">
        <v>0</v>
      </c>
      <c r="T638" s="44">
        <v>0</v>
      </c>
      <c r="U638" s="348">
        <v>0</v>
      </c>
      <c r="V638" s="225" t="s">
        <v>998</v>
      </c>
      <c r="W638" s="351">
        <v>309.89999999999998</v>
      </c>
      <c r="X638" s="348">
        <f t="shared" ref="X638" si="336">ROUND(G638/100*95.5,2)</f>
        <v>957116.85</v>
      </c>
      <c r="Y638" s="351">
        <v>0</v>
      </c>
      <c r="Z638" s="351">
        <v>0</v>
      </c>
      <c r="AA638" s="351">
        <v>0</v>
      </c>
      <c r="AB638" s="351">
        <v>0</v>
      </c>
      <c r="AC638" s="351">
        <v>0</v>
      </c>
      <c r="AD638" s="351">
        <v>0</v>
      </c>
      <c r="AE638" s="351">
        <v>0</v>
      </c>
      <c r="AF638" s="351">
        <v>0</v>
      </c>
      <c r="AG638" s="351">
        <v>0</v>
      </c>
      <c r="AH638" s="351">
        <v>0</v>
      </c>
      <c r="AI638" s="351">
        <v>0</v>
      </c>
      <c r="AJ638" s="351">
        <f t="shared" ref="AJ638:AJ639" si="337">ROUND(G638/100*3,2)</f>
        <v>30066.5</v>
      </c>
      <c r="AK638" s="351">
        <f t="shared" ref="AK638:AK639" si="338">ROUND(G638/100*1.5,2)</f>
        <v>15033.25</v>
      </c>
      <c r="AL638" s="351">
        <v>0</v>
      </c>
      <c r="AM638" s="352"/>
      <c r="AN638" s="352"/>
    </row>
    <row r="639" spans="1:40" s="19" customFormat="1" ht="9" hidden="1" customHeight="1">
      <c r="A639" s="349">
        <v>225</v>
      </c>
      <c r="B639" s="68" t="s">
        <v>935</v>
      </c>
      <c r="C639" s="348">
        <v>728</v>
      </c>
      <c r="D639" s="343"/>
      <c r="E639" s="348"/>
      <c r="F639" s="348"/>
      <c r="G639" s="348">
        <v>2003139.6</v>
      </c>
      <c r="H639" s="348">
        <f t="shared" si="335"/>
        <v>0</v>
      </c>
      <c r="I639" s="129">
        <v>0</v>
      </c>
      <c r="J639" s="129">
        <v>0</v>
      </c>
      <c r="K639" s="129">
        <v>0</v>
      </c>
      <c r="L639" s="129">
        <v>0</v>
      </c>
      <c r="M639" s="129">
        <v>0</v>
      </c>
      <c r="N639" s="348">
        <v>0</v>
      </c>
      <c r="O639" s="348">
        <v>0</v>
      </c>
      <c r="P639" s="348">
        <v>0</v>
      </c>
      <c r="Q639" s="348">
        <v>0</v>
      </c>
      <c r="R639" s="348">
        <v>0</v>
      </c>
      <c r="S639" s="348">
        <v>0</v>
      </c>
      <c r="T639" s="44">
        <v>0</v>
      </c>
      <c r="U639" s="348">
        <v>0</v>
      </c>
      <c r="V639" s="225" t="s">
        <v>998</v>
      </c>
      <c r="W639" s="351">
        <v>767</v>
      </c>
      <c r="X639" s="348">
        <f>ROUND(G639/100*95.5,2)</f>
        <v>1912998.32</v>
      </c>
      <c r="Y639" s="351">
        <v>0</v>
      </c>
      <c r="Z639" s="351">
        <v>0</v>
      </c>
      <c r="AA639" s="351">
        <v>0</v>
      </c>
      <c r="AB639" s="351">
        <v>0</v>
      </c>
      <c r="AC639" s="351">
        <v>0</v>
      </c>
      <c r="AD639" s="351">
        <v>0</v>
      </c>
      <c r="AE639" s="351">
        <v>0</v>
      </c>
      <c r="AF639" s="351">
        <v>0</v>
      </c>
      <c r="AG639" s="351">
        <v>0</v>
      </c>
      <c r="AH639" s="351">
        <v>0</v>
      </c>
      <c r="AI639" s="351">
        <v>0</v>
      </c>
      <c r="AJ639" s="351">
        <f t="shared" si="337"/>
        <v>60094.19</v>
      </c>
      <c r="AK639" s="351">
        <f t="shared" si="338"/>
        <v>30047.09</v>
      </c>
      <c r="AL639" s="351">
        <v>0</v>
      </c>
      <c r="AM639" s="352"/>
      <c r="AN639" s="352"/>
    </row>
    <row r="640" spans="1:40" s="19" customFormat="1" ht="35.25" hidden="1" customHeight="1">
      <c r="A640" s="599" t="s">
        <v>428</v>
      </c>
      <c r="B640" s="599"/>
      <c r="C640" s="348">
        <f>SUM(C638:C639)</f>
        <v>1098.4000000000001</v>
      </c>
      <c r="D640" s="248"/>
      <c r="E640" s="225"/>
      <c r="F640" s="225"/>
      <c r="G640" s="348">
        <f>SUM(G638:G639)</f>
        <v>3005356.2</v>
      </c>
      <c r="H640" s="348">
        <f t="shared" ref="H640:AL640" si="339">SUM(H638:H639)</f>
        <v>0</v>
      </c>
      <c r="I640" s="348">
        <f t="shared" si="339"/>
        <v>0</v>
      </c>
      <c r="J640" s="348">
        <f t="shared" si="339"/>
        <v>0</v>
      </c>
      <c r="K640" s="348">
        <f t="shared" si="339"/>
        <v>0</v>
      </c>
      <c r="L640" s="348">
        <f t="shared" si="339"/>
        <v>0</v>
      </c>
      <c r="M640" s="348">
        <f t="shared" si="339"/>
        <v>0</v>
      </c>
      <c r="N640" s="348">
        <f t="shared" si="339"/>
        <v>0</v>
      </c>
      <c r="O640" s="348">
        <f t="shared" si="339"/>
        <v>0</v>
      </c>
      <c r="P640" s="348">
        <f t="shared" si="339"/>
        <v>0</v>
      </c>
      <c r="Q640" s="348">
        <f t="shared" si="339"/>
        <v>0</v>
      </c>
      <c r="R640" s="348">
        <f t="shared" si="339"/>
        <v>0</v>
      </c>
      <c r="S640" s="348">
        <f t="shared" si="339"/>
        <v>0</v>
      </c>
      <c r="T640" s="44">
        <f t="shared" si="339"/>
        <v>0</v>
      </c>
      <c r="U640" s="348">
        <f t="shared" si="339"/>
        <v>0</v>
      </c>
      <c r="V640" s="225" t="s">
        <v>387</v>
      </c>
      <c r="W640" s="348">
        <f t="shared" si="339"/>
        <v>1076.9000000000001</v>
      </c>
      <c r="X640" s="348">
        <f t="shared" si="339"/>
        <v>2870115.17</v>
      </c>
      <c r="Y640" s="348">
        <f t="shared" si="339"/>
        <v>0</v>
      </c>
      <c r="Z640" s="348">
        <f t="shared" si="339"/>
        <v>0</v>
      </c>
      <c r="AA640" s="348">
        <f t="shared" si="339"/>
        <v>0</v>
      </c>
      <c r="AB640" s="348">
        <f t="shared" si="339"/>
        <v>0</v>
      </c>
      <c r="AC640" s="348">
        <f t="shared" si="339"/>
        <v>0</v>
      </c>
      <c r="AD640" s="348">
        <f t="shared" si="339"/>
        <v>0</v>
      </c>
      <c r="AE640" s="348">
        <f t="shared" si="339"/>
        <v>0</v>
      </c>
      <c r="AF640" s="348">
        <f t="shared" si="339"/>
        <v>0</v>
      </c>
      <c r="AG640" s="348">
        <f t="shared" si="339"/>
        <v>0</v>
      </c>
      <c r="AH640" s="348">
        <f t="shared" si="339"/>
        <v>0</v>
      </c>
      <c r="AI640" s="348">
        <f t="shared" si="339"/>
        <v>0</v>
      </c>
      <c r="AJ640" s="348">
        <f t="shared" si="339"/>
        <v>90160.69</v>
      </c>
      <c r="AK640" s="348">
        <f t="shared" si="339"/>
        <v>45080.34</v>
      </c>
      <c r="AL640" s="348">
        <f t="shared" si="339"/>
        <v>0</v>
      </c>
      <c r="AM640" s="352"/>
      <c r="AN640" s="352"/>
    </row>
    <row r="641" spans="1:40" s="19" customFormat="1" ht="12" hidden="1" customHeight="1">
      <c r="A641" s="612" t="s">
        <v>2</v>
      </c>
      <c r="B641" s="613"/>
      <c r="C641" s="613"/>
      <c r="D641" s="613"/>
      <c r="E641" s="613"/>
      <c r="F641" s="613"/>
      <c r="G641" s="613"/>
      <c r="H641" s="613"/>
      <c r="I641" s="613"/>
      <c r="J641" s="613"/>
      <c r="K641" s="613"/>
      <c r="L641" s="613"/>
      <c r="M641" s="613"/>
      <c r="N641" s="613"/>
      <c r="O641" s="613"/>
      <c r="P641" s="613"/>
      <c r="Q641" s="613"/>
      <c r="R641" s="613"/>
      <c r="S641" s="613"/>
      <c r="T641" s="613"/>
      <c r="U641" s="613"/>
      <c r="V641" s="613"/>
      <c r="W641" s="613"/>
      <c r="X641" s="613"/>
      <c r="Y641" s="613"/>
      <c r="Z641" s="613"/>
      <c r="AA641" s="613"/>
      <c r="AB641" s="613"/>
      <c r="AC641" s="613"/>
      <c r="AD641" s="613"/>
      <c r="AE641" s="613"/>
      <c r="AF641" s="613"/>
      <c r="AG641" s="613"/>
      <c r="AH641" s="613"/>
      <c r="AI641" s="613"/>
      <c r="AJ641" s="613"/>
      <c r="AK641" s="613"/>
      <c r="AL641" s="614"/>
      <c r="AM641" s="352"/>
      <c r="AN641" s="352"/>
    </row>
    <row r="642" spans="1:40" s="19" customFormat="1" ht="9" hidden="1" customHeight="1">
      <c r="A642" s="103">
        <v>226</v>
      </c>
      <c r="B642" s="104" t="s">
        <v>938</v>
      </c>
      <c r="C642" s="107">
        <v>1072.3800000000001</v>
      </c>
      <c r="D642" s="343"/>
      <c r="E642" s="107"/>
      <c r="F642" s="107"/>
      <c r="G642" s="107">
        <v>2858856</v>
      </c>
      <c r="H642" s="348">
        <f t="shared" ref="H642" si="340">I642+K642+M642+O642+Q642+S642</f>
        <v>0</v>
      </c>
      <c r="I642" s="129">
        <v>0</v>
      </c>
      <c r="J642" s="129">
        <v>0</v>
      </c>
      <c r="K642" s="129">
        <v>0</v>
      </c>
      <c r="L642" s="129">
        <v>0</v>
      </c>
      <c r="M642" s="129">
        <v>0</v>
      </c>
      <c r="N642" s="348">
        <v>0</v>
      </c>
      <c r="O642" s="348">
        <v>0</v>
      </c>
      <c r="P642" s="348">
        <v>0</v>
      </c>
      <c r="Q642" s="348">
        <v>0</v>
      </c>
      <c r="R642" s="348">
        <v>0</v>
      </c>
      <c r="S642" s="348">
        <v>0</v>
      </c>
      <c r="T642" s="44">
        <v>0</v>
      </c>
      <c r="U642" s="348">
        <v>0</v>
      </c>
      <c r="V642" s="225" t="s">
        <v>998</v>
      </c>
      <c r="W642" s="26">
        <v>884</v>
      </c>
      <c r="X642" s="348">
        <f t="shared" ref="X642" si="341">ROUND(G642/100*95.5,2)</f>
        <v>2730207.48</v>
      </c>
      <c r="Y642" s="351">
        <v>0</v>
      </c>
      <c r="Z642" s="351">
        <v>0</v>
      </c>
      <c r="AA642" s="351">
        <v>0</v>
      </c>
      <c r="AB642" s="351">
        <v>0</v>
      </c>
      <c r="AC642" s="351">
        <v>0</v>
      </c>
      <c r="AD642" s="351">
        <v>0</v>
      </c>
      <c r="AE642" s="351">
        <v>0</v>
      </c>
      <c r="AF642" s="351">
        <v>0</v>
      </c>
      <c r="AG642" s="351">
        <v>0</v>
      </c>
      <c r="AH642" s="351">
        <v>0</v>
      </c>
      <c r="AI642" s="351">
        <v>0</v>
      </c>
      <c r="AJ642" s="351">
        <f t="shared" ref="AJ642" si="342">ROUND(G642/100*3,2)</f>
        <v>85765.68</v>
      </c>
      <c r="AK642" s="351">
        <f t="shared" ref="AK642" si="343">ROUND(G642/100*1.5,2)</f>
        <v>42882.84</v>
      </c>
      <c r="AL642" s="351">
        <v>0</v>
      </c>
      <c r="AM642" s="352"/>
      <c r="AN642" s="352"/>
    </row>
    <row r="643" spans="1:40" s="19" customFormat="1" ht="24" hidden="1" customHeight="1">
      <c r="A643" s="609" t="s">
        <v>5</v>
      </c>
      <c r="B643" s="609"/>
      <c r="C643" s="107">
        <f>SUM(C642)</f>
        <v>1072.3800000000001</v>
      </c>
      <c r="D643" s="251"/>
      <c r="E643" s="225"/>
      <c r="F643" s="225"/>
      <c r="G643" s="107">
        <f>SUM(G642)</f>
        <v>2858856</v>
      </c>
      <c r="H643" s="107">
        <f t="shared" ref="H643:AL643" si="344">SUM(H642)</f>
        <v>0</v>
      </c>
      <c r="I643" s="107">
        <f t="shared" si="344"/>
        <v>0</v>
      </c>
      <c r="J643" s="107">
        <f t="shared" si="344"/>
        <v>0</v>
      </c>
      <c r="K643" s="107">
        <f t="shared" si="344"/>
        <v>0</v>
      </c>
      <c r="L643" s="107">
        <f t="shared" si="344"/>
        <v>0</v>
      </c>
      <c r="M643" s="107">
        <f t="shared" si="344"/>
        <v>0</v>
      </c>
      <c r="N643" s="107">
        <f t="shared" si="344"/>
        <v>0</v>
      </c>
      <c r="O643" s="107">
        <f t="shared" si="344"/>
        <v>0</v>
      </c>
      <c r="P643" s="107">
        <f t="shared" si="344"/>
        <v>0</v>
      </c>
      <c r="Q643" s="107">
        <f t="shared" si="344"/>
        <v>0</v>
      </c>
      <c r="R643" s="107">
        <f t="shared" si="344"/>
        <v>0</v>
      </c>
      <c r="S643" s="107">
        <f t="shared" si="344"/>
        <v>0</v>
      </c>
      <c r="T643" s="132">
        <f t="shared" si="344"/>
        <v>0</v>
      </c>
      <c r="U643" s="107">
        <f t="shared" si="344"/>
        <v>0</v>
      </c>
      <c r="V643" s="225" t="s">
        <v>387</v>
      </c>
      <c r="W643" s="107">
        <f t="shared" si="344"/>
        <v>884</v>
      </c>
      <c r="X643" s="107">
        <f t="shared" si="344"/>
        <v>2730207.48</v>
      </c>
      <c r="Y643" s="107">
        <f t="shared" si="344"/>
        <v>0</v>
      </c>
      <c r="Z643" s="107">
        <f t="shared" si="344"/>
        <v>0</v>
      </c>
      <c r="AA643" s="107">
        <f t="shared" si="344"/>
        <v>0</v>
      </c>
      <c r="AB643" s="107">
        <f t="shared" si="344"/>
        <v>0</v>
      </c>
      <c r="AC643" s="107">
        <f t="shared" si="344"/>
        <v>0</v>
      </c>
      <c r="AD643" s="107">
        <f t="shared" si="344"/>
        <v>0</v>
      </c>
      <c r="AE643" s="107">
        <f t="shared" si="344"/>
        <v>0</v>
      </c>
      <c r="AF643" s="107">
        <f t="shared" si="344"/>
        <v>0</v>
      </c>
      <c r="AG643" s="107">
        <f t="shared" si="344"/>
        <v>0</v>
      </c>
      <c r="AH643" s="107">
        <f t="shared" si="344"/>
        <v>0</v>
      </c>
      <c r="AI643" s="107">
        <f t="shared" si="344"/>
        <v>0</v>
      </c>
      <c r="AJ643" s="107">
        <f t="shared" si="344"/>
        <v>85765.68</v>
      </c>
      <c r="AK643" s="107">
        <f t="shared" si="344"/>
        <v>42882.84</v>
      </c>
      <c r="AL643" s="107">
        <f t="shared" si="344"/>
        <v>0</v>
      </c>
      <c r="AM643" s="352"/>
      <c r="AN643" s="352"/>
    </row>
    <row r="644" spans="1:40" s="19" customFormat="1" ht="12" hidden="1" customHeight="1">
      <c r="A644" s="514" t="s">
        <v>10</v>
      </c>
      <c r="B644" s="515"/>
      <c r="C644" s="515"/>
      <c r="D644" s="515"/>
      <c r="E644" s="515"/>
      <c r="F644" s="515"/>
      <c r="G644" s="515"/>
      <c r="H644" s="515"/>
      <c r="I644" s="515"/>
      <c r="J644" s="515"/>
      <c r="K644" s="515"/>
      <c r="L644" s="515"/>
      <c r="M644" s="515"/>
      <c r="N644" s="515"/>
      <c r="O644" s="515"/>
      <c r="P644" s="515"/>
      <c r="Q644" s="515"/>
      <c r="R644" s="515"/>
      <c r="S644" s="515"/>
      <c r="T644" s="515"/>
      <c r="U644" s="515"/>
      <c r="V644" s="515"/>
      <c r="W644" s="515"/>
      <c r="X644" s="515"/>
      <c r="Y644" s="515"/>
      <c r="Z644" s="515"/>
      <c r="AA644" s="515"/>
      <c r="AB644" s="515"/>
      <c r="AC644" s="515"/>
      <c r="AD644" s="515"/>
      <c r="AE644" s="515"/>
      <c r="AF644" s="515"/>
      <c r="AG644" s="515"/>
      <c r="AH644" s="515"/>
      <c r="AI644" s="515"/>
      <c r="AJ644" s="515"/>
      <c r="AK644" s="515"/>
      <c r="AL644" s="516"/>
      <c r="AM644" s="352"/>
      <c r="AN644" s="352"/>
    </row>
    <row r="645" spans="1:40" s="19" customFormat="1" ht="9" hidden="1" customHeight="1">
      <c r="A645" s="78">
        <v>227</v>
      </c>
      <c r="B645" s="82" t="s">
        <v>945</v>
      </c>
      <c r="C645" s="79">
        <v>234.8</v>
      </c>
      <c r="D645" s="343"/>
      <c r="E645" s="79"/>
      <c r="F645" s="79"/>
      <c r="G645" s="107">
        <v>572418</v>
      </c>
      <c r="H645" s="348">
        <f t="shared" ref="H645:H649" si="345">I645+K645+M645+O645+Q645+S645</f>
        <v>0</v>
      </c>
      <c r="I645" s="129">
        <v>0</v>
      </c>
      <c r="J645" s="129">
        <v>0</v>
      </c>
      <c r="K645" s="129">
        <v>0</v>
      </c>
      <c r="L645" s="129">
        <v>0</v>
      </c>
      <c r="M645" s="129">
        <v>0</v>
      </c>
      <c r="N645" s="348">
        <v>0</v>
      </c>
      <c r="O645" s="348">
        <v>0</v>
      </c>
      <c r="P645" s="348">
        <v>0</v>
      </c>
      <c r="Q645" s="348">
        <v>0</v>
      </c>
      <c r="R645" s="348">
        <v>0</v>
      </c>
      <c r="S645" s="348">
        <v>0</v>
      </c>
      <c r="T645" s="44">
        <v>0</v>
      </c>
      <c r="U645" s="348">
        <v>0</v>
      </c>
      <c r="V645" s="225" t="s">
        <v>998</v>
      </c>
      <c r="W645" s="15">
        <v>177</v>
      </c>
      <c r="X645" s="348">
        <f t="shared" ref="X645:X649" si="346">ROUND(G645/100*95.5,2)</f>
        <v>546659.18999999994</v>
      </c>
      <c r="Y645" s="351">
        <v>0</v>
      </c>
      <c r="Z645" s="351">
        <v>0</v>
      </c>
      <c r="AA645" s="351">
        <v>0</v>
      </c>
      <c r="AB645" s="351">
        <v>0</v>
      </c>
      <c r="AC645" s="351">
        <v>0</v>
      </c>
      <c r="AD645" s="351">
        <v>0</v>
      </c>
      <c r="AE645" s="351">
        <v>0</v>
      </c>
      <c r="AF645" s="351">
        <v>0</v>
      </c>
      <c r="AG645" s="351">
        <v>0</v>
      </c>
      <c r="AH645" s="351">
        <v>0</v>
      </c>
      <c r="AI645" s="351">
        <v>0</v>
      </c>
      <c r="AJ645" s="351">
        <f t="shared" ref="AJ645:AJ649" si="347">ROUND(G645/100*3,2)</f>
        <v>17172.54</v>
      </c>
      <c r="AK645" s="351">
        <f t="shared" ref="AK645:AK649" si="348">ROUND(G645/100*1.5,2)</f>
        <v>8586.27</v>
      </c>
      <c r="AL645" s="351">
        <v>0</v>
      </c>
      <c r="AM645" s="352"/>
      <c r="AN645" s="352"/>
    </row>
    <row r="646" spans="1:40" s="19" customFormat="1" ht="9" hidden="1" customHeight="1">
      <c r="A646" s="78">
        <v>228</v>
      </c>
      <c r="B646" s="82" t="s">
        <v>946</v>
      </c>
      <c r="C646" s="79">
        <v>176.2</v>
      </c>
      <c r="D646" s="343"/>
      <c r="E646" s="79"/>
      <c r="F646" s="79"/>
      <c r="G646" s="107">
        <v>633864</v>
      </c>
      <c r="H646" s="348">
        <f t="shared" si="345"/>
        <v>0</v>
      </c>
      <c r="I646" s="129">
        <v>0</v>
      </c>
      <c r="J646" s="129">
        <v>0</v>
      </c>
      <c r="K646" s="129">
        <v>0</v>
      </c>
      <c r="L646" s="129">
        <v>0</v>
      </c>
      <c r="M646" s="129">
        <v>0</v>
      </c>
      <c r="N646" s="348">
        <v>0</v>
      </c>
      <c r="O646" s="348">
        <v>0</v>
      </c>
      <c r="P646" s="348">
        <v>0</v>
      </c>
      <c r="Q646" s="348">
        <v>0</v>
      </c>
      <c r="R646" s="348">
        <v>0</v>
      </c>
      <c r="S646" s="348">
        <v>0</v>
      </c>
      <c r="T646" s="44">
        <v>0</v>
      </c>
      <c r="U646" s="348">
        <v>0</v>
      </c>
      <c r="V646" s="225" t="s">
        <v>998</v>
      </c>
      <c r="W646" s="15">
        <v>196</v>
      </c>
      <c r="X646" s="348">
        <f t="shared" si="346"/>
        <v>605340.12</v>
      </c>
      <c r="Y646" s="351">
        <v>0</v>
      </c>
      <c r="Z646" s="351">
        <v>0</v>
      </c>
      <c r="AA646" s="351">
        <v>0</v>
      </c>
      <c r="AB646" s="351">
        <v>0</v>
      </c>
      <c r="AC646" s="351">
        <v>0</v>
      </c>
      <c r="AD646" s="351">
        <v>0</v>
      </c>
      <c r="AE646" s="351">
        <v>0</v>
      </c>
      <c r="AF646" s="351">
        <v>0</v>
      </c>
      <c r="AG646" s="351">
        <v>0</v>
      </c>
      <c r="AH646" s="351">
        <v>0</v>
      </c>
      <c r="AI646" s="351">
        <v>0</v>
      </c>
      <c r="AJ646" s="351">
        <f t="shared" si="347"/>
        <v>19015.919999999998</v>
      </c>
      <c r="AK646" s="351">
        <f t="shared" si="348"/>
        <v>9507.9599999999991</v>
      </c>
      <c r="AL646" s="351">
        <v>0</v>
      </c>
      <c r="AM646" s="352"/>
      <c r="AN646" s="352"/>
    </row>
    <row r="647" spans="1:40" s="19" customFormat="1" ht="9" hidden="1" customHeight="1">
      <c r="A647" s="78">
        <v>229</v>
      </c>
      <c r="B647" s="82" t="s">
        <v>947</v>
      </c>
      <c r="C647" s="79">
        <v>487.2</v>
      </c>
      <c r="D647" s="343"/>
      <c r="E647" s="79"/>
      <c r="F647" s="79"/>
      <c r="G647" s="107">
        <v>1131900</v>
      </c>
      <c r="H647" s="348">
        <f t="shared" si="345"/>
        <v>0</v>
      </c>
      <c r="I647" s="129">
        <v>0</v>
      </c>
      <c r="J647" s="129">
        <v>0</v>
      </c>
      <c r="K647" s="129">
        <v>0</v>
      </c>
      <c r="L647" s="129">
        <v>0</v>
      </c>
      <c r="M647" s="129">
        <v>0</v>
      </c>
      <c r="N647" s="348">
        <v>0</v>
      </c>
      <c r="O647" s="348">
        <v>0</v>
      </c>
      <c r="P647" s="348">
        <v>0</v>
      </c>
      <c r="Q647" s="348">
        <v>0</v>
      </c>
      <c r="R647" s="348">
        <v>0</v>
      </c>
      <c r="S647" s="348">
        <v>0</v>
      </c>
      <c r="T647" s="44">
        <v>0</v>
      </c>
      <c r="U647" s="348">
        <v>0</v>
      </c>
      <c r="V647" s="225" t="s">
        <v>998</v>
      </c>
      <c r="W647" s="15">
        <v>350</v>
      </c>
      <c r="X647" s="348">
        <f t="shared" si="346"/>
        <v>1080964.5</v>
      </c>
      <c r="Y647" s="351">
        <v>0</v>
      </c>
      <c r="Z647" s="351">
        <v>0</v>
      </c>
      <c r="AA647" s="351">
        <v>0</v>
      </c>
      <c r="AB647" s="351">
        <v>0</v>
      </c>
      <c r="AC647" s="351">
        <v>0</v>
      </c>
      <c r="AD647" s="351">
        <v>0</v>
      </c>
      <c r="AE647" s="351">
        <v>0</v>
      </c>
      <c r="AF647" s="351">
        <v>0</v>
      </c>
      <c r="AG647" s="351">
        <v>0</v>
      </c>
      <c r="AH647" s="351">
        <v>0</v>
      </c>
      <c r="AI647" s="351">
        <v>0</v>
      </c>
      <c r="AJ647" s="351">
        <f t="shared" si="347"/>
        <v>33957</v>
      </c>
      <c r="AK647" s="351">
        <f t="shared" si="348"/>
        <v>16978.5</v>
      </c>
      <c r="AL647" s="351">
        <v>0</v>
      </c>
      <c r="AM647" s="352"/>
      <c r="AN647" s="352"/>
    </row>
    <row r="648" spans="1:40" s="19" customFormat="1" ht="9" hidden="1" customHeight="1">
      <c r="A648" s="78">
        <v>230</v>
      </c>
      <c r="B648" s="82" t="s">
        <v>948</v>
      </c>
      <c r="C648" s="79">
        <v>261.89999999999998</v>
      </c>
      <c r="D648" s="343"/>
      <c r="E648" s="79"/>
      <c r="F648" s="79"/>
      <c r="G648" s="107">
        <v>937860</v>
      </c>
      <c r="H648" s="348">
        <f t="shared" si="345"/>
        <v>0</v>
      </c>
      <c r="I648" s="129">
        <v>0</v>
      </c>
      <c r="J648" s="129">
        <v>0</v>
      </c>
      <c r="K648" s="129">
        <v>0</v>
      </c>
      <c r="L648" s="129">
        <v>0</v>
      </c>
      <c r="M648" s="129">
        <v>0</v>
      </c>
      <c r="N648" s="348">
        <v>0</v>
      </c>
      <c r="O648" s="348">
        <v>0</v>
      </c>
      <c r="P648" s="348">
        <v>0</v>
      </c>
      <c r="Q648" s="348">
        <v>0</v>
      </c>
      <c r="R648" s="348">
        <v>0</v>
      </c>
      <c r="S648" s="348">
        <v>0</v>
      </c>
      <c r="T648" s="44">
        <v>0</v>
      </c>
      <c r="U648" s="348">
        <v>0</v>
      </c>
      <c r="V648" s="225" t="s">
        <v>998</v>
      </c>
      <c r="W648" s="15">
        <v>290</v>
      </c>
      <c r="X648" s="348">
        <f t="shared" si="346"/>
        <v>895656.3</v>
      </c>
      <c r="Y648" s="351">
        <v>0</v>
      </c>
      <c r="Z648" s="351">
        <v>0</v>
      </c>
      <c r="AA648" s="351">
        <v>0</v>
      </c>
      <c r="AB648" s="351">
        <v>0</v>
      </c>
      <c r="AC648" s="351">
        <v>0</v>
      </c>
      <c r="AD648" s="351">
        <v>0</v>
      </c>
      <c r="AE648" s="351">
        <v>0</v>
      </c>
      <c r="AF648" s="351">
        <v>0</v>
      </c>
      <c r="AG648" s="351">
        <v>0</v>
      </c>
      <c r="AH648" s="351">
        <v>0</v>
      </c>
      <c r="AI648" s="351">
        <v>0</v>
      </c>
      <c r="AJ648" s="351">
        <f t="shared" si="347"/>
        <v>28135.8</v>
      </c>
      <c r="AK648" s="351">
        <f t="shared" si="348"/>
        <v>14067.9</v>
      </c>
      <c r="AL648" s="351">
        <v>0</v>
      </c>
      <c r="AM648" s="352"/>
      <c r="AN648" s="352"/>
    </row>
    <row r="649" spans="1:40" s="19" customFormat="1" ht="9" hidden="1" customHeight="1">
      <c r="A649" s="78">
        <v>231</v>
      </c>
      <c r="B649" s="82" t="s">
        <v>949</v>
      </c>
      <c r="C649" s="79">
        <v>312.5</v>
      </c>
      <c r="D649" s="343"/>
      <c r="E649" s="79"/>
      <c r="F649" s="79"/>
      <c r="G649" s="107">
        <v>892584</v>
      </c>
      <c r="H649" s="348">
        <f t="shared" si="345"/>
        <v>0</v>
      </c>
      <c r="I649" s="129">
        <v>0</v>
      </c>
      <c r="J649" s="129">
        <v>0</v>
      </c>
      <c r="K649" s="129">
        <v>0</v>
      </c>
      <c r="L649" s="129">
        <v>0</v>
      </c>
      <c r="M649" s="129">
        <v>0</v>
      </c>
      <c r="N649" s="348">
        <v>0</v>
      </c>
      <c r="O649" s="348">
        <v>0</v>
      </c>
      <c r="P649" s="348">
        <v>0</v>
      </c>
      <c r="Q649" s="348">
        <v>0</v>
      </c>
      <c r="R649" s="348">
        <v>0</v>
      </c>
      <c r="S649" s="348">
        <v>0</v>
      </c>
      <c r="T649" s="44">
        <v>0</v>
      </c>
      <c r="U649" s="348">
        <v>0</v>
      </c>
      <c r="V649" s="225" t="s">
        <v>998</v>
      </c>
      <c r="W649" s="15">
        <v>276</v>
      </c>
      <c r="X649" s="348">
        <f t="shared" si="346"/>
        <v>852417.72</v>
      </c>
      <c r="Y649" s="351">
        <v>0</v>
      </c>
      <c r="Z649" s="351">
        <v>0</v>
      </c>
      <c r="AA649" s="351">
        <v>0</v>
      </c>
      <c r="AB649" s="351">
        <v>0</v>
      </c>
      <c r="AC649" s="351">
        <v>0</v>
      </c>
      <c r="AD649" s="351">
        <v>0</v>
      </c>
      <c r="AE649" s="351">
        <v>0</v>
      </c>
      <c r="AF649" s="351">
        <v>0</v>
      </c>
      <c r="AG649" s="351">
        <v>0</v>
      </c>
      <c r="AH649" s="351">
        <v>0</v>
      </c>
      <c r="AI649" s="351">
        <v>0</v>
      </c>
      <c r="AJ649" s="351">
        <f t="shared" si="347"/>
        <v>26777.52</v>
      </c>
      <c r="AK649" s="351">
        <f t="shared" si="348"/>
        <v>13388.76</v>
      </c>
      <c r="AL649" s="351">
        <v>0</v>
      </c>
      <c r="AM649" s="352"/>
      <c r="AN649" s="352"/>
    </row>
    <row r="650" spans="1:40" s="19" customFormat="1" ht="36.75" hidden="1" customHeight="1">
      <c r="A650" s="606" t="s">
        <v>11</v>
      </c>
      <c r="B650" s="606"/>
      <c r="C650" s="79">
        <f>SUM(C645:C649)</f>
        <v>1472.6</v>
      </c>
      <c r="D650" s="249"/>
      <c r="E650" s="225"/>
      <c r="F650" s="225"/>
      <c r="G650" s="79">
        <f>SUM(G645:G649)</f>
        <v>4168626</v>
      </c>
      <c r="H650" s="79">
        <f t="shared" ref="H650:AN650" si="349">SUM(H645:H649)</f>
        <v>0</v>
      </c>
      <c r="I650" s="79">
        <f t="shared" si="349"/>
        <v>0</v>
      </c>
      <c r="J650" s="79">
        <f t="shared" si="349"/>
        <v>0</v>
      </c>
      <c r="K650" s="79">
        <f t="shared" si="349"/>
        <v>0</v>
      </c>
      <c r="L650" s="79">
        <f t="shared" si="349"/>
        <v>0</v>
      </c>
      <c r="M650" s="79">
        <f t="shared" si="349"/>
        <v>0</v>
      </c>
      <c r="N650" s="79">
        <f t="shared" si="349"/>
        <v>0</v>
      </c>
      <c r="O650" s="79">
        <f t="shared" si="349"/>
        <v>0</v>
      </c>
      <c r="P650" s="79">
        <f t="shared" si="349"/>
        <v>0</v>
      </c>
      <c r="Q650" s="79">
        <f t="shared" si="349"/>
        <v>0</v>
      </c>
      <c r="R650" s="79">
        <f t="shared" si="349"/>
        <v>0</v>
      </c>
      <c r="S650" s="79">
        <f t="shared" si="349"/>
        <v>0</v>
      </c>
      <c r="T650" s="102">
        <f t="shared" si="349"/>
        <v>0</v>
      </c>
      <c r="U650" s="79">
        <f t="shared" si="349"/>
        <v>0</v>
      </c>
      <c r="V650" s="225" t="s">
        <v>387</v>
      </c>
      <c r="W650" s="79">
        <f t="shared" si="349"/>
        <v>1289</v>
      </c>
      <c r="X650" s="79">
        <f t="shared" si="349"/>
        <v>3981037.83</v>
      </c>
      <c r="Y650" s="79">
        <f t="shared" si="349"/>
        <v>0</v>
      </c>
      <c r="Z650" s="79">
        <f t="shared" si="349"/>
        <v>0</v>
      </c>
      <c r="AA650" s="79">
        <f t="shared" si="349"/>
        <v>0</v>
      </c>
      <c r="AB650" s="79">
        <f t="shared" si="349"/>
        <v>0</v>
      </c>
      <c r="AC650" s="79">
        <f t="shared" si="349"/>
        <v>0</v>
      </c>
      <c r="AD650" s="79">
        <f t="shared" si="349"/>
        <v>0</v>
      </c>
      <c r="AE650" s="79">
        <f t="shared" si="349"/>
        <v>0</v>
      </c>
      <c r="AF650" s="79">
        <f t="shared" si="349"/>
        <v>0</v>
      </c>
      <c r="AG650" s="79">
        <f t="shared" si="349"/>
        <v>0</v>
      </c>
      <c r="AH650" s="79">
        <f t="shared" si="349"/>
        <v>0</v>
      </c>
      <c r="AI650" s="79">
        <f t="shared" si="349"/>
        <v>0</v>
      </c>
      <c r="AJ650" s="79">
        <f t="shared" si="349"/>
        <v>125058.78</v>
      </c>
      <c r="AK650" s="79">
        <f t="shared" si="349"/>
        <v>62529.39</v>
      </c>
      <c r="AL650" s="79">
        <f t="shared" si="349"/>
        <v>0</v>
      </c>
      <c r="AM650" s="79">
        <f t="shared" si="349"/>
        <v>0</v>
      </c>
      <c r="AN650" s="79">
        <f t="shared" si="349"/>
        <v>0</v>
      </c>
    </row>
    <row r="651" spans="1:40" s="19" customFormat="1" ht="13.5" hidden="1" customHeight="1">
      <c r="A651" s="514" t="s">
        <v>388</v>
      </c>
      <c r="B651" s="515"/>
      <c r="C651" s="515"/>
      <c r="D651" s="515"/>
      <c r="E651" s="515"/>
      <c r="F651" s="515"/>
      <c r="G651" s="515"/>
      <c r="H651" s="515"/>
      <c r="I651" s="515"/>
      <c r="J651" s="515"/>
      <c r="K651" s="515"/>
      <c r="L651" s="515"/>
      <c r="M651" s="515"/>
      <c r="N651" s="515"/>
      <c r="O651" s="515"/>
      <c r="P651" s="515"/>
      <c r="Q651" s="515"/>
      <c r="R651" s="515"/>
      <c r="S651" s="515"/>
      <c r="T651" s="515"/>
      <c r="U651" s="515"/>
      <c r="V651" s="515"/>
      <c r="W651" s="515"/>
      <c r="X651" s="515"/>
      <c r="Y651" s="515"/>
      <c r="Z651" s="515"/>
      <c r="AA651" s="515"/>
      <c r="AB651" s="515"/>
      <c r="AC651" s="515"/>
      <c r="AD651" s="515"/>
      <c r="AE651" s="515"/>
      <c r="AF651" s="515"/>
      <c r="AG651" s="515"/>
      <c r="AH651" s="515"/>
      <c r="AI651" s="515"/>
      <c r="AJ651" s="515"/>
      <c r="AK651" s="515"/>
      <c r="AL651" s="516"/>
      <c r="AM651" s="352"/>
      <c r="AN651" s="352"/>
    </row>
    <row r="652" spans="1:40" s="19" customFormat="1" ht="9" hidden="1" customHeight="1">
      <c r="A652" s="78">
        <v>232</v>
      </c>
      <c r="B652" s="82" t="s">
        <v>951</v>
      </c>
      <c r="C652" s="79">
        <v>164.9</v>
      </c>
      <c r="D652" s="343"/>
      <c r="E652" s="79"/>
      <c r="F652" s="79"/>
      <c r="G652" s="79">
        <v>581149.80000000005</v>
      </c>
      <c r="H652" s="348">
        <f t="shared" ref="H652" si="350">I652+K652+M652+O652+Q652+S652</f>
        <v>0</v>
      </c>
      <c r="I652" s="129">
        <v>0</v>
      </c>
      <c r="J652" s="129">
        <v>0</v>
      </c>
      <c r="K652" s="129">
        <v>0</v>
      </c>
      <c r="L652" s="129">
        <v>0</v>
      </c>
      <c r="M652" s="129">
        <v>0</v>
      </c>
      <c r="N652" s="348">
        <v>0</v>
      </c>
      <c r="O652" s="348">
        <v>0</v>
      </c>
      <c r="P652" s="348">
        <v>0</v>
      </c>
      <c r="Q652" s="348">
        <v>0</v>
      </c>
      <c r="R652" s="348">
        <v>0</v>
      </c>
      <c r="S652" s="348">
        <v>0</v>
      </c>
      <c r="T652" s="44">
        <v>0</v>
      </c>
      <c r="U652" s="348">
        <v>0</v>
      </c>
      <c r="V652" s="225" t="s">
        <v>998</v>
      </c>
      <c r="W652" s="16">
        <v>179.7</v>
      </c>
      <c r="X652" s="348">
        <f t="shared" ref="X652" si="351">ROUND(G652/100*95.5,2)</f>
        <v>554998.06000000006</v>
      </c>
      <c r="Y652" s="351">
        <v>0</v>
      </c>
      <c r="Z652" s="351">
        <v>0</v>
      </c>
      <c r="AA652" s="351">
        <v>0</v>
      </c>
      <c r="AB652" s="351">
        <v>0</v>
      </c>
      <c r="AC652" s="351">
        <v>0</v>
      </c>
      <c r="AD652" s="351">
        <v>0</v>
      </c>
      <c r="AE652" s="351">
        <v>0</v>
      </c>
      <c r="AF652" s="351">
        <v>0</v>
      </c>
      <c r="AG652" s="351">
        <v>0</v>
      </c>
      <c r="AH652" s="351">
        <v>0</v>
      </c>
      <c r="AI652" s="351">
        <v>0</v>
      </c>
      <c r="AJ652" s="351">
        <f t="shared" ref="AJ652" si="352">ROUND(G652/100*3,2)</f>
        <v>17434.490000000002</v>
      </c>
      <c r="AK652" s="351">
        <f t="shared" ref="AK652" si="353">ROUND(G652/100*1.5,2)</f>
        <v>8717.25</v>
      </c>
      <c r="AL652" s="351">
        <v>0</v>
      </c>
      <c r="AM652" s="352"/>
      <c r="AN652" s="352"/>
    </row>
    <row r="653" spans="1:40" s="19" customFormat="1" ht="36" hidden="1" customHeight="1">
      <c r="A653" s="606" t="s">
        <v>20</v>
      </c>
      <c r="B653" s="606"/>
      <c r="C653" s="79">
        <f>SUM(C652)</f>
        <v>164.9</v>
      </c>
      <c r="D653" s="249"/>
      <c r="E653" s="225"/>
      <c r="F653" s="225"/>
      <c r="G653" s="79">
        <f>SUM(G652)</f>
        <v>581149.80000000005</v>
      </c>
      <c r="H653" s="79">
        <f t="shared" ref="H653:AL653" si="354">SUM(H652)</f>
        <v>0</v>
      </c>
      <c r="I653" s="79">
        <f t="shared" si="354"/>
        <v>0</v>
      </c>
      <c r="J653" s="79">
        <f t="shared" si="354"/>
        <v>0</v>
      </c>
      <c r="K653" s="79">
        <f t="shared" si="354"/>
        <v>0</v>
      </c>
      <c r="L653" s="79">
        <f t="shared" si="354"/>
        <v>0</v>
      </c>
      <c r="M653" s="79">
        <f t="shared" si="354"/>
        <v>0</v>
      </c>
      <c r="N653" s="79">
        <f t="shared" si="354"/>
        <v>0</v>
      </c>
      <c r="O653" s="79">
        <f t="shared" si="354"/>
        <v>0</v>
      </c>
      <c r="P653" s="79">
        <f t="shared" si="354"/>
        <v>0</v>
      </c>
      <c r="Q653" s="79">
        <f t="shared" si="354"/>
        <v>0</v>
      </c>
      <c r="R653" s="79">
        <f t="shared" si="354"/>
        <v>0</v>
      </c>
      <c r="S653" s="79">
        <f t="shared" si="354"/>
        <v>0</v>
      </c>
      <c r="T653" s="102">
        <f t="shared" si="354"/>
        <v>0</v>
      </c>
      <c r="U653" s="79">
        <f t="shared" si="354"/>
        <v>0</v>
      </c>
      <c r="V653" s="225" t="s">
        <v>387</v>
      </c>
      <c r="W653" s="79">
        <f t="shared" si="354"/>
        <v>179.7</v>
      </c>
      <c r="X653" s="79">
        <f t="shared" si="354"/>
        <v>554998.06000000006</v>
      </c>
      <c r="Y653" s="79">
        <f t="shared" si="354"/>
        <v>0</v>
      </c>
      <c r="Z653" s="79">
        <f t="shared" si="354"/>
        <v>0</v>
      </c>
      <c r="AA653" s="79">
        <f t="shared" si="354"/>
        <v>0</v>
      </c>
      <c r="AB653" s="79">
        <f t="shared" si="354"/>
        <v>0</v>
      </c>
      <c r="AC653" s="79">
        <f t="shared" si="354"/>
        <v>0</v>
      </c>
      <c r="AD653" s="79">
        <f t="shared" si="354"/>
        <v>0</v>
      </c>
      <c r="AE653" s="79">
        <f t="shared" si="354"/>
        <v>0</v>
      </c>
      <c r="AF653" s="79">
        <f t="shared" si="354"/>
        <v>0</v>
      </c>
      <c r="AG653" s="79">
        <f t="shared" si="354"/>
        <v>0</v>
      </c>
      <c r="AH653" s="79">
        <f t="shared" si="354"/>
        <v>0</v>
      </c>
      <c r="AI653" s="79">
        <f t="shared" si="354"/>
        <v>0</v>
      </c>
      <c r="AJ653" s="79">
        <f t="shared" si="354"/>
        <v>17434.490000000002</v>
      </c>
      <c r="AK653" s="79">
        <f t="shared" si="354"/>
        <v>8717.25</v>
      </c>
      <c r="AL653" s="79">
        <f t="shared" si="354"/>
        <v>0</v>
      </c>
      <c r="AM653" s="352"/>
      <c r="AN653" s="352"/>
    </row>
    <row r="654" spans="1:40" s="19" customFormat="1" ht="11.25" hidden="1" customHeight="1">
      <c r="A654" s="514" t="s">
        <v>433</v>
      </c>
      <c r="B654" s="515"/>
      <c r="C654" s="515"/>
      <c r="D654" s="515"/>
      <c r="E654" s="515"/>
      <c r="F654" s="515"/>
      <c r="G654" s="515"/>
      <c r="H654" s="515"/>
      <c r="I654" s="515"/>
      <c r="J654" s="515"/>
      <c r="K654" s="515"/>
      <c r="L654" s="515"/>
      <c r="M654" s="515"/>
      <c r="N654" s="515"/>
      <c r="O654" s="515"/>
      <c r="P654" s="515"/>
      <c r="Q654" s="515"/>
      <c r="R654" s="515"/>
      <c r="S654" s="515"/>
      <c r="T654" s="515"/>
      <c r="U654" s="515"/>
      <c r="V654" s="515"/>
      <c r="W654" s="515"/>
      <c r="X654" s="515"/>
      <c r="Y654" s="515"/>
      <c r="Z654" s="515"/>
      <c r="AA654" s="515"/>
      <c r="AB654" s="515"/>
      <c r="AC654" s="515"/>
      <c r="AD654" s="515"/>
      <c r="AE654" s="515"/>
      <c r="AF654" s="515"/>
      <c r="AG654" s="515"/>
      <c r="AH654" s="515"/>
      <c r="AI654" s="515"/>
      <c r="AJ654" s="515"/>
      <c r="AK654" s="515"/>
      <c r="AL654" s="516"/>
      <c r="AM654" s="352"/>
      <c r="AN654" s="352"/>
    </row>
    <row r="655" spans="1:40" s="19" customFormat="1" ht="9" hidden="1" customHeight="1">
      <c r="A655" s="349">
        <v>233</v>
      </c>
      <c r="B655" s="68" t="s">
        <v>1055</v>
      </c>
      <c r="C655" s="348">
        <v>875.6</v>
      </c>
      <c r="D655" s="343"/>
      <c r="E655" s="348"/>
      <c r="F655" s="348"/>
      <c r="G655" s="348">
        <v>2133026.52</v>
      </c>
      <c r="H655" s="348">
        <f t="shared" ref="H655" si="355">I655+K655+M655+O655+Q655+S655</f>
        <v>0</v>
      </c>
      <c r="I655" s="129">
        <v>0</v>
      </c>
      <c r="J655" s="129">
        <v>0</v>
      </c>
      <c r="K655" s="129">
        <v>0</v>
      </c>
      <c r="L655" s="129">
        <v>0</v>
      </c>
      <c r="M655" s="129">
        <v>0</v>
      </c>
      <c r="N655" s="348">
        <v>0</v>
      </c>
      <c r="O655" s="348">
        <v>0</v>
      </c>
      <c r="P655" s="348">
        <v>0</v>
      </c>
      <c r="Q655" s="348">
        <v>0</v>
      </c>
      <c r="R655" s="348">
        <v>0</v>
      </c>
      <c r="S655" s="348">
        <v>0</v>
      </c>
      <c r="T655" s="44">
        <v>0</v>
      </c>
      <c r="U655" s="348">
        <v>0</v>
      </c>
      <c r="V655" s="225" t="s">
        <v>997</v>
      </c>
      <c r="W655" s="351">
        <v>639.78</v>
      </c>
      <c r="X655" s="348">
        <f t="shared" ref="X655" si="356">ROUND(G655/100*95.5,2)</f>
        <v>2037040.33</v>
      </c>
      <c r="Y655" s="351">
        <v>0</v>
      </c>
      <c r="Z655" s="351">
        <v>0</v>
      </c>
      <c r="AA655" s="351">
        <v>0</v>
      </c>
      <c r="AB655" s="351">
        <v>0</v>
      </c>
      <c r="AC655" s="351">
        <v>0</v>
      </c>
      <c r="AD655" s="351">
        <v>0</v>
      </c>
      <c r="AE655" s="351">
        <v>0</v>
      </c>
      <c r="AF655" s="351">
        <v>0</v>
      </c>
      <c r="AG655" s="351">
        <v>0</v>
      </c>
      <c r="AH655" s="351">
        <v>0</v>
      </c>
      <c r="AI655" s="351">
        <v>0</v>
      </c>
      <c r="AJ655" s="351">
        <f t="shared" ref="AJ655" si="357">ROUND(G655/100*3,2)</f>
        <v>63990.8</v>
      </c>
      <c r="AK655" s="351">
        <f t="shared" ref="AK655" si="358">ROUND(G655/100*1.5,2)</f>
        <v>31995.4</v>
      </c>
      <c r="AL655" s="351">
        <v>0</v>
      </c>
      <c r="AM655" s="352"/>
      <c r="AN655" s="352"/>
    </row>
    <row r="656" spans="1:40" s="19" customFormat="1" ht="35.25" hidden="1" customHeight="1">
      <c r="A656" s="599" t="s">
        <v>434</v>
      </c>
      <c r="B656" s="599"/>
      <c r="C656" s="348">
        <f>SUM(C655)</f>
        <v>875.6</v>
      </c>
      <c r="D656" s="248"/>
      <c r="E656" s="225"/>
      <c r="F656" s="225"/>
      <c r="G656" s="348">
        <f>SUM(G655)</f>
        <v>2133026.52</v>
      </c>
      <c r="H656" s="348">
        <f t="shared" ref="H656:AN656" si="359">SUM(H655)</f>
        <v>0</v>
      </c>
      <c r="I656" s="348">
        <f t="shared" si="359"/>
        <v>0</v>
      </c>
      <c r="J656" s="348">
        <f t="shared" si="359"/>
        <v>0</v>
      </c>
      <c r="K656" s="348">
        <f t="shared" si="359"/>
        <v>0</v>
      </c>
      <c r="L656" s="348">
        <f t="shared" si="359"/>
        <v>0</v>
      </c>
      <c r="M656" s="348">
        <f t="shared" si="359"/>
        <v>0</v>
      </c>
      <c r="N656" s="348">
        <f t="shared" si="359"/>
        <v>0</v>
      </c>
      <c r="O656" s="348">
        <f t="shared" si="359"/>
        <v>0</v>
      </c>
      <c r="P656" s="348">
        <f t="shared" si="359"/>
        <v>0</v>
      </c>
      <c r="Q656" s="348">
        <f t="shared" si="359"/>
        <v>0</v>
      </c>
      <c r="R656" s="348">
        <f t="shared" si="359"/>
        <v>0</v>
      </c>
      <c r="S656" s="348">
        <f t="shared" si="359"/>
        <v>0</v>
      </c>
      <c r="T656" s="44">
        <f t="shared" si="359"/>
        <v>0</v>
      </c>
      <c r="U656" s="348">
        <f t="shared" si="359"/>
        <v>0</v>
      </c>
      <c r="V656" s="225" t="s">
        <v>387</v>
      </c>
      <c r="W656" s="348">
        <f t="shared" si="359"/>
        <v>639.78</v>
      </c>
      <c r="X656" s="348">
        <f t="shared" si="359"/>
        <v>2037040.33</v>
      </c>
      <c r="Y656" s="348">
        <f t="shared" si="359"/>
        <v>0</v>
      </c>
      <c r="Z656" s="348">
        <f t="shared" si="359"/>
        <v>0</v>
      </c>
      <c r="AA656" s="348">
        <f t="shared" si="359"/>
        <v>0</v>
      </c>
      <c r="AB656" s="348">
        <f t="shared" si="359"/>
        <v>0</v>
      </c>
      <c r="AC656" s="348">
        <f t="shared" si="359"/>
        <v>0</v>
      </c>
      <c r="AD656" s="348">
        <f t="shared" si="359"/>
        <v>0</v>
      </c>
      <c r="AE656" s="348">
        <f t="shared" si="359"/>
        <v>0</v>
      </c>
      <c r="AF656" s="348">
        <f t="shared" si="359"/>
        <v>0</v>
      </c>
      <c r="AG656" s="348">
        <f t="shared" si="359"/>
        <v>0</v>
      </c>
      <c r="AH656" s="348">
        <f t="shared" si="359"/>
        <v>0</v>
      </c>
      <c r="AI656" s="348">
        <f t="shared" si="359"/>
        <v>0</v>
      </c>
      <c r="AJ656" s="348">
        <f t="shared" si="359"/>
        <v>63990.8</v>
      </c>
      <c r="AK656" s="348">
        <f t="shared" si="359"/>
        <v>31995.4</v>
      </c>
      <c r="AL656" s="348">
        <f t="shared" si="359"/>
        <v>0</v>
      </c>
      <c r="AM656" s="348">
        <f t="shared" si="359"/>
        <v>0</v>
      </c>
      <c r="AN656" s="348">
        <f t="shared" si="359"/>
        <v>0</v>
      </c>
    </row>
    <row r="657" spans="1:40" s="19" customFormat="1" ht="13.5" hidden="1" customHeight="1">
      <c r="A657" s="514" t="s">
        <v>425</v>
      </c>
      <c r="B657" s="515"/>
      <c r="C657" s="515"/>
      <c r="D657" s="515"/>
      <c r="E657" s="515"/>
      <c r="F657" s="515"/>
      <c r="G657" s="515"/>
      <c r="H657" s="515"/>
      <c r="I657" s="515"/>
      <c r="J657" s="515"/>
      <c r="K657" s="515"/>
      <c r="L657" s="515"/>
      <c r="M657" s="515"/>
      <c r="N657" s="515"/>
      <c r="O657" s="515"/>
      <c r="P657" s="515"/>
      <c r="Q657" s="515"/>
      <c r="R657" s="515"/>
      <c r="S657" s="515"/>
      <c r="T657" s="515"/>
      <c r="U657" s="515"/>
      <c r="V657" s="515"/>
      <c r="W657" s="515"/>
      <c r="X657" s="515"/>
      <c r="Y657" s="515"/>
      <c r="Z657" s="515"/>
      <c r="AA657" s="515"/>
      <c r="AB657" s="515"/>
      <c r="AC657" s="515"/>
      <c r="AD657" s="515"/>
      <c r="AE657" s="515"/>
      <c r="AF657" s="515"/>
      <c r="AG657" s="515"/>
      <c r="AH657" s="515"/>
      <c r="AI657" s="515"/>
      <c r="AJ657" s="515"/>
      <c r="AK657" s="515"/>
      <c r="AL657" s="516"/>
      <c r="AM657" s="352"/>
      <c r="AN657" s="352"/>
    </row>
    <row r="658" spans="1:40" s="19" customFormat="1" ht="9" hidden="1" customHeight="1">
      <c r="A658" s="349">
        <v>234</v>
      </c>
      <c r="B658" s="68" t="s">
        <v>953</v>
      </c>
      <c r="C658" s="348">
        <v>1477.42</v>
      </c>
      <c r="D658" s="343"/>
      <c r="E658" s="348"/>
      <c r="F658" s="348"/>
      <c r="G658" s="348">
        <v>2988216</v>
      </c>
      <c r="H658" s="348">
        <f t="shared" ref="H658" si="360">I658+K658+M658+O658+Q658+S658</f>
        <v>0</v>
      </c>
      <c r="I658" s="129">
        <v>0</v>
      </c>
      <c r="J658" s="129">
        <v>0</v>
      </c>
      <c r="K658" s="129">
        <v>0</v>
      </c>
      <c r="L658" s="129">
        <v>0</v>
      </c>
      <c r="M658" s="129">
        <v>0</v>
      </c>
      <c r="N658" s="348">
        <v>0</v>
      </c>
      <c r="O658" s="348">
        <v>0</v>
      </c>
      <c r="P658" s="348">
        <v>0</v>
      </c>
      <c r="Q658" s="348">
        <v>0</v>
      </c>
      <c r="R658" s="348">
        <v>0</v>
      </c>
      <c r="S658" s="348">
        <v>0</v>
      </c>
      <c r="T658" s="44">
        <v>0</v>
      </c>
      <c r="U658" s="348">
        <v>0</v>
      </c>
      <c r="V658" s="225" t="s">
        <v>998</v>
      </c>
      <c r="W658" s="14">
        <v>924</v>
      </c>
      <c r="X658" s="348">
        <f t="shared" ref="X658" si="361">ROUND(G658/100*95.5,2)</f>
        <v>2853746.28</v>
      </c>
      <c r="Y658" s="351">
        <v>0</v>
      </c>
      <c r="Z658" s="351">
        <v>0</v>
      </c>
      <c r="AA658" s="351">
        <v>0</v>
      </c>
      <c r="AB658" s="351">
        <v>0</v>
      </c>
      <c r="AC658" s="351">
        <v>0</v>
      </c>
      <c r="AD658" s="351">
        <v>0</v>
      </c>
      <c r="AE658" s="351">
        <v>0</v>
      </c>
      <c r="AF658" s="351">
        <v>0</v>
      </c>
      <c r="AG658" s="351">
        <v>0</v>
      </c>
      <c r="AH658" s="351">
        <v>0</v>
      </c>
      <c r="AI658" s="351">
        <v>0</v>
      </c>
      <c r="AJ658" s="351">
        <f t="shared" ref="AJ658" si="362">ROUND(G658/100*3,2)</f>
        <v>89646.48</v>
      </c>
      <c r="AK658" s="351">
        <f t="shared" ref="AK658" si="363">ROUND(G658/100*1.5,2)</f>
        <v>44823.24</v>
      </c>
      <c r="AL658" s="351">
        <v>0</v>
      </c>
      <c r="AM658" s="352"/>
      <c r="AN658" s="352"/>
    </row>
    <row r="659" spans="1:40" s="19" customFormat="1" ht="38.25" hidden="1" customHeight="1">
      <c r="A659" s="599" t="s">
        <v>426</v>
      </c>
      <c r="B659" s="599"/>
      <c r="C659" s="348">
        <f>SUM(C658)</f>
        <v>1477.42</v>
      </c>
      <c r="D659" s="248"/>
      <c r="E659" s="225"/>
      <c r="F659" s="225"/>
      <c r="G659" s="348">
        <f>SUM(G658)</f>
        <v>2988216</v>
      </c>
      <c r="H659" s="348">
        <f t="shared" ref="H659:AL659" si="364">SUM(H658)</f>
        <v>0</v>
      </c>
      <c r="I659" s="348">
        <f t="shared" si="364"/>
        <v>0</v>
      </c>
      <c r="J659" s="348">
        <f t="shared" si="364"/>
        <v>0</v>
      </c>
      <c r="K659" s="348">
        <f t="shared" si="364"/>
        <v>0</v>
      </c>
      <c r="L659" s="348">
        <f t="shared" si="364"/>
        <v>0</v>
      </c>
      <c r="M659" s="348">
        <f t="shared" si="364"/>
        <v>0</v>
      </c>
      <c r="N659" s="348">
        <f t="shared" si="364"/>
        <v>0</v>
      </c>
      <c r="O659" s="348">
        <f t="shared" si="364"/>
        <v>0</v>
      </c>
      <c r="P659" s="348">
        <f t="shared" si="364"/>
        <v>0</v>
      </c>
      <c r="Q659" s="348">
        <f t="shared" si="364"/>
        <v>0</v>
      </c>
      <c r="R659" s="348">
        <f t="shared" si="364"/>
        <v>0</v>
      </c>
      <c r="S659" s="348">
        <f t="shared" si="364"/>
        <v>0</v>
      </c>
      <c r="T659" s="44">
        <f t="shared" si="364"/>
        <v>0</v>
      </c>
      <c r="U659" s="348">
        <f t="shared" si="364"/>
        <v>0</v>
      </c>
      <c r="V659" s="225" t="s">
        <v>387</v>
      </c>
      <c r="W659" s="348">
        <f t="shared" si="364"/>
        <v>924</v>
      </c>
      <c r="X659" s="348">
        <f t="shared" si="364"/>
        <v>2853746.28</v>
      </c>
      <c r="Y659" s="348">
        <f t="shared" si="364"/>
        <v>0</v>
      </c>
      <c r="Z659" s="348">
        <f t="shared" si="364"/>
        <v>0</v>
      </c>
      <c r="AA659" s="348">
        <f t="shared" si="364"/>
        <v>0</v>
      </c>
      <c r="AB659" s="348">
        <f t="shared" si="364"/>
        <v>0</v>
      </c>
      <c r="AC659" s="348">
        <f t="shared" si="364"/>
        <v>0</v>
      </c>
      <c r="AD659" s="348">
        <f t="shared" si="364"/>
        <v>0</v>
      </c>
      <c r="AE659" s="348">
        <f t="shared" si="364"/>
        <v>0</v>
      </c>
      <c r="AF659" s="348">
        <f t="shared" si="364"/>
        <v>0</v>
      </c>
      <c r="AG659" s="348">
        <f t="shared" si="364"/>
        <v>0</v>
      </c>
      <c r="AH659" s="348">
        <f t="shared" si="364"/>
        <v>0</v>
      </c>
      <c r="AI659" s="348">
        <f t="shared" si="364"/>
        <v>0</v>
      </c>
      <c r="AJ659" s="348">
        <f t="shared" si="364"/>
        <v>89646.48</v>
      </c>
      <c r="AK659" s="348">
        <f t="shared" si="364"/>
        <v>44823.24</v>
      </c>
      <c r="AL659" s="348">
        <f t="shared" si="364"/>
        <v>0</v>
      </c>
      <c r="AM659" s="352"/>
      <c r="AN659" s="352"/>
    </row>
    <row r="660" spans="1:40" s="19" customFormat="1" ht="12.75" hidden="1" customHeight="1">
      <c r="A660" s="519" t="s">
        <v>28</v>
      </c>
      <c r="B660" s="520"/>
      <c r="C660" s="520"/>
      <c r="D660" s="520"/>
      <c r="E660" s="520"/>
      <c r="F660" s="520"/>
      <c r="G660" s="520"/>
      <c r="H660" s="520"/>
      <c r="I660" s="520"/>
      <c r="J660" s="520"/>
      <c r="K660" s="520"/>
      <c r="L660" s="520"/>
      <c r="M660" s="520"/>
      <c r="N660" s="520"/>
      <c r="O660" s="520"/>
      <c r="P660" s="520"/>
      <c r="Q660" s="520"/>
      <c r="R660" s="520"/>
      <c r="S660" s="520"/>
      <c r="T660" s="520"/>
      <c r="U660" s="520"/>
      <c r="V660" s="520"/>
      <c r="W660" s="520"/>
      <c r="X660" s="520"/>
      <c r="Y660" s="520"/>
      <c r="Z660" s="520"/>
      <c r="AA660" s="520"/>
      <c r="AB660" s="520"/>
      <c r="AC660" s="520"/>
      <c r="AD660" s="520"/>
      <c r="AE660" s="520"/>
      <c r="AF660" s="520"/>
      <c r="AG660" s="520"/>
      <c r="AH660" s="520"/>
      <c r="AI660" s="520"/>
      <c r="AJ660" s="520"/>
      <c r="AK660" s="520"/>
      <c r="AL660" s="521"/>
      <c r="AM660" s="352"/>
      <c r="AN660" s="352"/>
    </row>
    <row r="661" spans="1:40" s="19" customFormat="1" ht="9" hidden="1" customHeight="1">
      <c r="A661" s="349">
        <v>235</v>
      </c>
      <c r="B661" s="68" t="s">
        <v>958</v>
      </c>
      <c r="C661" s="348">
        <v>901.2</v>
      </c>
      <c r="D661" s="343"/>
      <c r="E661" s="348"/>
      <c r="F661" s="348"/>
      <c r="G661" s="348">
        <v>2606604</v>
      </c>
      <c r="H661" s="348">
        <f t="shared" ref="H661:H662" si="365">I661+K661+M661+O661+Q661+S661</f>
        <v>0</v>
      </c>
      <c r="I661" s="129">
        <v>0</v>
      </c>
      <c r="J661" s="129">
        <v>0</v>
      </c>
      <c r="K661" s="129">
        <v>0</v>
      </c>
      <c r="L661" s="129">
        <v>0</v>
      </c>
      <c r="M661" s="129">
        <v>0</v>
      </c>
      <c r="N661" s="348">
        <v>0</v>
      </c>
      <c r="O661" s="348">
        <v>0</v>
      </c>
      <c r="P661" s="348">
        <v>0</v>
      </c>
      <c r="Q661" s="348">
        <v>0</v>
      </c>
      <c r="R661" s="348">
        <v>0</v>
      </c>
      <c r="S661" s="348">
        <v>0</v>
      </c>
      <c r="T661" s="44">
        <v>0</v>
      </c>
      <c r="U661" s="348">
        <v>0</v>
      </c>
      <c r="V661" s="225" t="s">
        <v>998</v>
      </c>
      <c r="W661" s="351">
        <v>806</v>
      </c>
      <c r="X661" s="348">
        <f t="shared" ref="X661:X662" si="366">ROUND(G661/100*95.5,2)</f>
        <v>2489306.8199999998</v>
      </c>
      <c r="Y661" s="351">
        <v>0</v>
      </c>
      <c r="Z661" s="351">
        <v>0</v>
      </c>
      <c r="AA661" s="351">
        <v>0</v>
      </c>
      <c r="AB661" s="351">
        <v>0</v>
      </c>
      <c r="AC661" s="351">
        <v>0</v>
      </c>
      <c r="AD661" s="351">
        <v>0</v>
      </c>
      <c r="AE661" s="351">
        <v>0</v>
      </c>
      <c r="AF661" s="351">
        <v>0</v>
      </c>
      <c r="AG661" s="351">
        <v>0</v>
      </c>
      <c r="AH661" s="351">
        <v>0</v>
      </c>
      <c r="AI661" s="351">
        <v>0</v>
      </c>
      <c r="AJ661" s="351">
        <f t="shared" ref="AJ661:AJ662" si="367">ROUND(G661/100*3,2)</f>
        <v>78198.12</v>
      </c>
      <c r="AK661" s="351">
        <f t="shared" ref="AK661:AK662" si="368">ROUND(G661/100*1.5,2)</f>
        <v>39099.06</v>
      </c>
      <c r="AL661" s="351">
        <v>0</v>
      </c>
      <c r="AM661" s="352"/>
      <c r="AN661" s="352"/>
    </row>
    <row r="662" spans="1:40" s="19" customFormat="1" ht="9" hidden="1" customHeight="1">
      <c r="A662" s="349">
        <v>236</v>
      </c>
      <c r="B662" s="68" t="s">
        <v>959</v>
      </c>
      <c r="C662" s="348">
        <v>502.1</v>
      </c>
      <c r="D662" s="343"/>
      <c r="E662" s="348"/>
      <c r="F662" s="348"/>
      <c r="G662" s="348">
        <v>1529682</v>
      </c>
      <c r="H662" s="348">
        <f t="shared" si="365"/>
        <v>0</v>
      </c>
      <c r="I662" s="129">
        <v>0</v>
      </c>
      <c r="J662" s="129">
        <v>0</v>
      </c>
      <c r="K662" s="129">
        <v>0</v>
      </c>
      <c r="L662" s="129">
        <v>0</v>
      </c>
      <c r="M662" s="129">
        <v>0</v>
      </c>
      <c r="N662" s="348">
        <v>0</v>
      </c>
      <c r="O662" s="348">
        <v>0</v>
      </c>
      <c r="P662" s="348">
        <v>0</v>
      </c>
      <c r="Q662" s="348">
        <v>0</v>
      </c>
      <c r="R662" s="348">
        <v>0</v>
      </c>
      <c r="S662" s="348">
        <v>0</v>
      </c>
      <c r="T662" s="44">
        <v>0</v>
      </c>
      <c r="U662" s="348">
        <v>0</v>
      </c>
      <c r="V662" s="225" t="s">
        <v>998</v>
      </c>
      <c r="W662" s="351">
        <v>473</v>
      </c>
      <c r="X662" s="348">
        <f t="shared" si="366"/>
        <v>1460846.31</v>
      </c>
      <c r="Y662" s="351">
        <v>0</v>
      </c>
      <c r="Z662" s="351">
        <v>0</v>
      </c>
      <c r="AA662" s="351">
        <v>0</v>
      </c>
      <c r="AB662" s="351">
        <v>0</v>
      </c>
      <c r="AC662" s="351">
        <v>0</v>
      </c>
      <c r="AD662" s="351">
        <v>0</v>
      </c>
      <c r="AE662" s="351">
        <v>0</v>
      </c>
      <c r="AF662" s="351">
        <v>0</v>
      </c>
      <c r="AG662" s="351">
        <v>0</v>
      </c>
      <c r="AH662" s="351">
        <v>0</v>
      </c>
      <c r="AI662" s="351">
        <v>0</v>
      </c>
      <c r="AJ662" s="351">
        <f t="shared" si="367"/>
        <v>45890.46</v>
      </c>
      <c r="AK662" s="351">
        <f t="shared" si="368"/>
        <v>22945.23</v>
      </c>
      <c r="AL662" s="351">
        <v>0</v>
      </c>
      <c r="AM662" s="352"/>
      <c r="AN662" s="352"/>
    </row>
    <row r="663" spans="1:40" s="19" customFormat="1" ht="36" hidden="1" customHeight="1">
      <c r="A663" s="599" t="s">
        <v>29</v>
      </c>
      <c r="B663" s="599"/>
      <c r="C663" s="348">
        <f>SUM(C661:C662)</f>
        <v>1403.3000000000002</v>
      </c>
      <c r="D663" s="248"/>
      <c r="E663" s="225"/>
      <c r="F663" s="225"/>
      <c r="G663" s="348">
        <f>SUM(G661:G662)</f>
        <v>4136286</v>
      </c>
      <c r="H663" s="348">
        <f t="shared" ref="H663:AN663" si="369">SUM(H661:H662)</f>
        <v>0</v>
      </c>
      <c r="I663" s="348">
        <f t="shared" si="369"/>
        <v>0</v>
      </c>
      <c r="J663" s="348">
        <f t="shared" si="369"/>
        <v>0</v>
      </c>
      <c r="K663" s="348">
        <f t="shared" si="369"/>
        <v>0</v>
      </c>
      <c r="L663" s="348">
        <f t="shared" si="369"/>
        <v>0</v>
      </c>
      <c r="M663" s="348">
        <f t="shared" si="369"/>
        <v>0</v>
      </c>
      <c r="N663" s="348">
        <f t="shared" si="369"/>
        <v>0</v>
      </c>
      <c r="O663" s="348">
        <f t="shared" si="369"/>
        <v>0</v>
      </c>
      <c r="P663" s="348">
        <f t="shared" si="369"/>
        <v>0</v>
      </c>
      <c r="Q663" s="348">
        <f t="shared" si="369"/>
        <v>0</v>
      </c>
      <c r="R663" s="348">
        <f t="shared" si="369"/>
        <v>0</v>
      </c>
      <c r="S663" s="348">
        <f t="shared" si="369"/>
        <v>0</v>
      </c>
      <c r="T663" s="44">
        <f t="shared" si="369"/>
        <v>0</v>
      </c>
      <c r="U663" s="348">
        <f t="shared" si="369"/>
        <v>0</v>
      </c>
      <c r="V663" s="225" t="s">
        <v>387</v>
      </c>
      <c r="W663" s="348">
        <f t="shared" si="369"/>
        <v>1279</v>
      </c>
      <c r="X663" s="348">
        <f t="shared" si="369"/>
        <v>3950153.13</v>
      </c>
      <c r="Y663" s="348">
        <f t="shared" si="369"/>
        <v>0</v>
      </c>
      <c r="Z663" s="348">
        <f t="shared" si="369"/>
        <v>0</v>
      </c>
      <c r="AA663" s="348">
        <f t="shared" si="369"/>
        <v>0</v>
      </c>
      <c r="AB663" s="348">
        <f t="shared" si="369"/>
        <v>0</v>
      </c>
      <c r="AC663" s="348">
        <f t="shared" si="369"/>
        <v>0</v>
      </c>
      <c r="AD663" s="348">
        <f t="shared" si="369"/>
        <v>0</v>
      </c>
      <c r="AE663" s="348">
        <f t="shared" si="369"/>
        <v>0</v>
      </c>
      <c r="AF663" s="348">
        <f t="shared" si="369"/>
        <v>0</v>
      </c>
      <c r="AG663" s="348">
        <f t="shared" si="369"/>
        <v>0</v>
      </c>
      <c r="AH663" s="348">
        <f t="shared" si="369"/>
        <v>0</v>
      </c>
      <c r="AI663" s="348">
        <f t="shared" si="369"/>
        <v>0</v>
      </c>
      <c r="AJ663" s="348">
        <f t="shared" si="369"/>
        <v>124088.57999999999</v>
      </c>
      <c r="AK663" s="348">
        <f t="shared" si="369"/>
        <v>62044.289999999994</v>
      </c>
      <c r="AL663" s="348">
        <f t="shared" si="369"/>
        <v>0</v>
      </c>
      <c r="AM663" s="348">
        <f t="shared" si="369"/>
        <v>0</v>
      </c>
      <c r="AN663" s="348">
        <f t="shared" si="369"/>
        <v>0</v>
      </c>
    </row>
    <row r="664" spans="1:40" s="19" customFormat="1" ht="11.25" hidden="1" customHeight="1">
      <c r="A664" s="519" t="s">
        <v>34</v>
      </c>
      <c r="B664" s="520"/>
      <c r="C664" s="520"/>
      <c r="D664" s="520"/>
      <c r="E664" s="520"/>
      <c r="F664" s="520"/>
      <c r="G664" s="520"/>
      <c r="H664" s="520"/>
      <c r="I664" s="520"/>
      <c r="J664" s="520"/>
      <c r="K664" s="520"/>
      <c r="L664" s="520"/>
      <c r="M664" s="520"/>
      <c r="N664" s="520"/>
      <c r="O664" s="520"/>
      <c r="P664" s="520"/>
      <c r="Q664" s="520"/>
      <c r="R664" s="520"/>
      <c r="S664" s="520"/>
      <c r="T664" s="520"/>
      <c r="U664" s="520"/>
      <c r="V664" s="520"/>
      <c r="W664" s="520"/>
      <c r="X664" s="520"/>
      <c r="Y664" s="520"/>
      <c r="Z664" s="520"/>
      <c r="AA664" s="520"/>
      <c r="AB664" s="520"/>
      <c r="AC664" s="520"/>
      <c r="AD664" s="520"/>
      <c r="AE664" s="520"/>
      <c r="AF664" s="520"/>
      <c r="AG664" s="520"/>
      <c r="AH664" s="520"/>
      <c r="AI664" s="520"/>
      <c r="AJ664" s="520"/>
      <c r="AK664" s="520"/>
      <c r="AL664" s="521"/>
      <c r="AM664" s="352"/>
      <c r="AN664" s="352"/>
    </row>
    <row r="665" spans="1:40" s="19" customFormat="1" ht="9" hidden="1" customHeight="1">
      <c r="A665" s="349">
        <v>237</v>
      </c>
      <c r="B665" s="68" t="s">
        <v>967</v>
      </c>
      <c r="C665" s="348">
        <v>295.3</v>
      </c>
      <c r="D665" s="343"/>
      <c r="E665" s="348"/>
      <c r="F665" s="348"/>
      <c r="G665" s="348">
        <v>834372</v>
      </c>
      <c r="H665" s="348">
        <f t="shared" ref="H665" si="370">I665+K665+M665+O665+Q665+S665</f>
        <v>0</v>
      </c>
      <c r="I665" s="129">
        <v>0</v>
      </c>
      <c r="J665" s="129">
        <v>0</v>
      </c>
      <c r="K665" s="129">
        <v>0</v>
      </c>
      <c r="L665" s="129">
        <v>0</v>
      </c>
      <c r="M665" s="129">
        <v>0</v>
      </c>
      <c r="N665" s="348">
        <v>0</v>
      </c>
      <c r="O665" s="348">
        <v>0</v>
      </c>
      <c r="P665" s="348">
        <v>0</v>
      </c>
      <c r="Q665" s="348">
        <v>0</v>
      </c>
      <c r="R665" s="348">
        <v>0</v>
      </c>
      <c r="S665" s="348">
        <v>0</v>
      </c>
      <c r="T665" s="44">
        <v>0</v>
      </c>
      <c r="U665" s="348">
        <v>0</v>
      </c>
      <c r="V665" s="225" t="s">
        <v>998</v>
      </c>
      <c r="W665" s="351">
        <v>258</v>
      </c>
      <c r="X665" s="348">
        <f t="shared" ref="X665" si="371">ROUND(G665/100*95.5,2)</f>
        <v>796825.26</v>
      </c>
      <c r="Y665" s="351">
        <v>0</v>
      </c>
      <c r="Z665" s="351">
        <v>0</v>
      </c>
      <c r="AA665" s="351">
        <v>0</v>
      </c>
      <c r="AB665" s="351">
        <v>0</v>
      </c>
      <c r="AC665" s="351">
        <v>0</v>
      </c>
      <c r="AD665" s="351">
        <v>0</v>
      </c>
      <c r="AE665" s="351">
        <v>0</v>
      </c>
      <c r="AF665" s="351">
        <v>0</v>
      </c>
      <c r="AG665" s="351">
        <v>0</v>
      </c>
      <c r="AH665" s="351">
        <v>0</v>
      </c>
      <c r="AI665" s="351">
        <v>0</v>
      </c>
      <c r="AJ665" s="351">
        <f t="shared" ref="AJ665" si="372">ROUND(G665/100*3,2)</f>
        <v>25031.16</v>
      </c>
      <c r="AK665" s="351">
        <f t="shared" ref="AK665" si="373">ROUND(G665/100*1.5,2)</f>
        <v>12515.58</v>
      </c>
      <c r="AL665" s="351">
        <v>0</v>
      </c>
      <c r="AM665" s="352"/>
      <c r="AN665" s="352"/>
    </row>
    <row r="666" spans="1:40" s="19" customFormat="1" ht="9" hidden="1" customHeight="1">
      <c r="A666" s="349">
        <v>238</v>
      </c>
      <c r="B666" s="68" t="s">
        <v>968</v>
      </c>
      <c r="C666" s="348">
        <v>1489.1</v>
      </c>
      <c r="D666" s="343"/>
      <c r="E666" s="348"/>
      <c r="F666" s="348"/>
      <c r="G666" s="348">
        <v>3253404</v>
      </c>
      <c r="H666" s="348">
        <f t="shared" ref="H666:H669" si="374">I666+K666+M666+O666+Q666+S666</f>
        <v>0</v>
      </c>
      <c r="I666" s="129">
        <v>0</v>
      </c>
      <c r="J666" s="129">
        <v>0</v>
      </c>
      <c r="K666" s="129">
        <v>0</v>
      </c>
      <c r="L666" s="129">
        <v>0</v>
      </c>
      <c r="M666" s="129">
        <v>0</v>
      </c>
      <c r="N666" s="348">
        <v>0</v>
      </c>
      <c r="O666" s="348">
        <v>0</v>
      </c>
      <c r="P666" s="348">
        <v>0</v>
      </c>
      <c r="Q666" s="348">
        <v>0</v>
      </c>
      <c r="R666" s="348">
        <v>0</v>
      </c>
      <c r="S666" s="348">
        <v>0</v>
      </c>
      <c r="T666" s="44">
        <v>0</v>
      </c>
      <c r="U666" s="348">
        <v>0</v>
      </c>
      <c r="V666" s="225" t="s">
        <v>998</v>
      </c>
      <c r="W666" s="351">
        <v>1006</v>
      </c>
      <c r="X666" s="348">
        <f t="shared" ref="X666:X669" si="375">ROUND(G666/100*95.5,2)</f>
        <v>3107000.82</v>
      </c>
      <c r="Y666" s="351">
        <v>0</v>
      </c>
      <c r="Z666" s="351">
        <v>0</v>
      </c>
      <c r="AA666" s="351">
        <v>0</v>
      </c>
      <c r="AB666" s="351">
        <v>0</v>
      </c>
      <c r="AC666" s="351">
        <v>0</v>
      </c>
      <c r="AD666" s="351">
        <v>0</v>
      </c>
      <c r="AE666" s="351">
        <v>0</v>
      </c>
      <c r="AF666" s="351">
        <v>0</v>
      </c>
      <c r="AG666" s="351">
        <v>0</v>
      </c>
      <c r="AH666" s="351">
        <v>0</v>
      </c>
      <c r="AI666" s="351">
        <v>0</v>
      </c>
      <c r="AJ666" s="351">
        <f t="shared" ref="AJ666:AJ669" si="376">ROUND(G666/100*3,2)</f>
        <v>97602.12</v>
      </c>
      <c r="AK666" s="351">
        <f t="shared" ref="AK666:AK669" si="377">ROUND(G666/100*1.5,2)</f>
        <v>48801.06</v>
      </c>
      <c r="AL666" s="351">
        <v>0</v>
      </c>
      <c r="AM666" s="352"/>
      <c r="AN666" s="352"/>
    </row>
    <row r="667" spans="1:40" s="19" customFormat="1" ht="9" hidden="1" customHeight="1">
      <c r="A667" s="349">
        <v>239</v>
      </c>
      <c r="B667" s="68" t="s">
        <v>969</v>
      </c>
      <c r="C667" s="348">
        <v>476.5</v>
      </c>
      <c r="D667" s="343"/>
      <c r="E667" s="348"/>
      <c r="F667" s="348"/>
      <c r="G667" s="348">
        <v>1663666</v>
      </c>
      <c r="H667" s="348">
        <f t="shared" si="374"/>
        <v>0</v>
      </c>
      <c r="I667" s="129">
        <v>0</v>
      </c>
      <c r="J667" s="129">
        <v>0</v>
      </c>
      <c r="K667" s="129">
        <v>0</v>
      </c>
      <c r="L667" s="129">
        <v>0</v>
      </c>
      <c r="M667" s="129">
        <v>0</v>
      </c>
      <c r="N667" s="348">
        <v>0</v>
      </c>
      <c r="O667" s="348">
        <v>0</v>
      </c>
      <c r="P667" s="348">
        <v>0</v>
      </c>
      <c r="Q667" s="348">
        <v>0</v>
      </c>
      <c r="R667" s="348">
        <v>0</v>
      </c>
      <c r="S667" s="348">
        <v>0</v>
      </c>
      <c r="T667" s="44">
        <v>0</v>
      </c>
      <c r="U667" s="348">
        <v>0</v>
      </c>
      <c r="V667" s="225" t="s">
        <v>997</v>
      </c>
      <c r="W667" s="351">
        <v>499</v>
      </c>
      <c r="X667" s="348">
        <f t="shared" si="375"/>
        <v>1588801.03</v>
      </c>
      <c r="Y667" s="351">
        <v>0</v>
      </c>
      <c r="Z667" s="351">
        <v>0</v>
      </c>
      <c r="AA667" s="351">
        <v>0</v>
      </c>
      <c r="AB667" s="351">
        <v>0</v>
      </c>
      <c r="AC667" s="351">
        <v>0</v>
      </c>
      <c r="AD667" s="351">
        <v>0</v>
      </c>
      <c r="AE667" s="351">
        <v>0</v>
      </c>
      <c r="AF667" s="351">
        <v>0</v>
      </c>
      <c r="AG667" s="351">
        <v>0</v>
      </c>
      <c r="AH667" s="351">
        <v>0</v>
      </c>
      <c r="AI667" s="351">
        <v>0</v>
      </c>
      <c r="AJ667" s="351">
        <f t="shared" si="376"/>
        <v>49909.98</v>
      </c>
      <c r="AK667" s="351">
        <f t="shared" si="377"/>
        <v>24954.99</v>
      </c>
      <c r="AL667" s="351">
        <v>0</v>
      </c>
      <c r="AM667" s="352"/>
      <c r="AN667" s="352"/>
    </row>
    <row r="668" spans="1:40" s="19" customFormat="1" ht="9" hidden="1" customHeight="1">
      <c r="A668" s="349">
        <v>240</v>
      </c>
      <c r="B668" s="68" t="s">
        <v>970</v>
      </c>
      <c r="C668" s="348">
        <v>975.4</v>
      </c>
      <c r="D668" s="343"/>
      <c r="E668" s="348"/>
      <c r="F668" s="348"/>
      <c r="G668" s="348">
        <v>2441670</v>
      </c>
      <c r="H668" s="348">
        <f t="shared" si="374"/>
        <v>0</v>
      </c>
      <c r="I668" s="129">
        <v>0</v>
      </c>
      <c r="J668" s="129">
        <v>0</v>
      </c>
      <c r="K668" s="129">
        <v>0</v>
      </c>
      <c r="L668" s="129">
        <v>0</v>
      </c>
      <c r="M668" s="129">
        <v>0</v>
      </c>
      <c r="N668" s="348">
        <v>0</v>
      </c>
      <c r="O668" s="348">
        <v>0</v>
      </c>
      <c r="P668" s="348">
        <v>0</v>
      </c>
      <c r="Q668" s="348">
        <v>0</v>
      </c>
      <c r="R668" s="348">
        <v>0</v>
      </c>
      <c r="S668" s="348">
        <v>0</v>
      </c>
      <c r="T668" s="44">
        <v>0</v>
      </c>
      <c r="U668" s="348">
        <v>0</v>
      </c>
      <c r="V668" s="225" t="s">
        <v>998</v>
      </c>
      <c r="W668" s="351">
        <v>755</v>
      </c>
      <c r="X668" s="348">
        <f t="shared" si="375"/>
        <v>2331794.85</v>
      </c>
      <c r="Y668" s="351">
        <v>0</v>
      </c>
      <c r="Z668" s="351">
        <v>0</v>
      </c>
      <c r="AA668" s="351">
        <v>0</v>
      </c>
      <c r="AB668" s="351">
        <v>0</v>
      </c>
      <c r="AC668" s="351">
        <v>0</v>
      </c>
      <c r="AD668" s="351">
        <v>0</v>
      </c>
      <c r="AE668" s="351">
        <v>0</v>
      </c>
      <c r="AF668" s="351">
        <v>0</v>
      </c>
      <c r="AG668" s="351">
        <v>0</v>
      </c>
      <c r="AH668" s="351">
        <v>0</v>
      </c>
      <c r="AI668" s="351">
        <v>0</v>
      </c>
      <c r="AJ668" s="351">
        <f t="shared" si="376"/>
        <v>73250.100000000006</v>
      </c>
      <c r="AK668" s="351">
        <f t="shared" si="377"/>
        <v>36625.050000000003</v>
      </c>
      <c r="AL668" s="351">
        <v>0</v>
      </c>
      <c r="AM668" s="352"/>
      <c r="AN668" s="352"/>
    </row>
    <row r="669" spans="1:40" s="19" customFormat="1" ht="9" hidden="1" customHeight="1">
      <c r="A669" s="349">
        <v>241</v>
      </c>
      <c r="B669" s="68" t="s">
        <v>971</v>
      </c>
      <c r="C669" s="348">
        <v>297.60000000000002</v>
      </c>
      <c r="D669" s="343"/>
      <c r="E669" s="348"/>
      <c r="F669" s="348"/>
      <c r="G669" s="348">
        <v>630630</v>
      </c>
      <c r="H669" s="348">
        <f t="shared" si="374"/>
        <v>0</v>
      </c>
      <c r="I669" s="129">
        <v>0</v>
      </c>
      <c r="J669" s="129">
        <v>0</v>
      </c>
      <c r="K669" s="129">
        <v>0</v>
      </c>
      <c r="L669" s="129">
        <v>0</v>
      </c>
      <c r="M669" s="129">
        <v>0</v>
      </c>
      <c r="N669" s="348">
        <v>0</v>
      </c>
      <c r="O669" s="348">
        <v>0</v>
      </c>
      <c r="P669" s="348">
        <v>0</v>
      </c>
      <c r="Q669" s="348">
        <v>0</v>
      </c>
      <c r="R669" s="348">
        <v>0</v>
      </c>
      <c r="S669" s="348">
        <v>0</v>
      </c>
      <c r="T669" s="44">
        <v>0</v>
      </c>
      <c r="U669" s="348">
        <v>0</v>
      </c>
      <c r="V669" s="225" t="s">
        <v>998</v>
      </c>
      <c r="W669" s="351">
        <v>195</v>
      </c>
      <c r="X669" s="348">
        <f t="shared" si="375"/>
        <v>602251.65</v>
      </c>
      <c r="Y669" s="351">
        <v>0</v>
      </c>
      <c r="Z669" s="351">
        <v>0</v>
      </c>
      <c r="AA669" s="351">
        <v>0</v>
      </c>
      <c r="AB669" s="351">
        <v>0</v>
      </c>
      <c r="AC669" s="351">
        <v>0</v>
      </c>
      <c r="AD669" s="351">
        <v>0</v>
      </c>
      <c r="AE669" s="351">
        <v>0</v>
      </c>
      <c r="AF669" s="351">
        <v>0</v>
      </c>
      <c r="AG669" s="351">
        <v>0</v>
      </c>
      <c r="AH669" s="351">
        <v>0</v>
      </c>
      <c r="AI669" s="351">
        <v>0</v>
      </c>
      <c r="AJ669" s="351">
        <f t="shared" si="376"/>
        <v>18918.900000000001</v>
      </c>
      <c r="AK669" s="351">
        <f t="shared" si="377"/>
        <v>9459.4500000000007</v>
      </c>
      <c r="AL669" s="351">
        <v>0</v>
      </c>
      <c r="AM669" s="352"/>
      <c r="AN669" s="352"/>
    </row>
    <row r="670" spans="1:40" s="19" customFormat="1" ht="36.75" hidden="1" customHeight="1">
      <c r="A670" s="599" t="s">
        <v>35</v>
      </c>
      <c r="B670" s="599"/>
      <c r="C670" s="348">
        <f>SUM(C665:C669)</f>
        <v>3533.8999999999996</v>
      </c>
      <c r="D670" s="248"/>
      <c r="E670" s="225"/>
      <c r="F670" s="225"/>
      <c r="G670" s="348">
        <f>SUM(G665:G669)</f>
        <v>8823742</v>
      </c>
      <c r="H670" s="348">
        <f t="shared" ref="H670:AL670" si="378">SUM(H665:H669)</f>
        <v>0</v>
      </c>
      <c r="I670" s="348">
        <f t="shared" si="378"/>
        <v>0</v>
      </c>
      <c r="J670" s="348">
        <f t="shared" si="378"/>
        <v>0</v>
      </c>
      <c r="K670" s="348">
        <f t="shared" si="378"/>
        <v>0</v>
      </c>
      <c r="L670" s="348">
        <f t="shared" si="378"/>
        <v>0</v>
      </c>
      <c r="M670" s="348">
        <f t="shared" si="378"/>
        <v>0</v>
      </c>
      <c r="N670" s="348">
        <f t="shared" si="378"/>
        <v>0</v>
      </c>
      <c r="O670" s="348">
        <f t="shared" si="378"/>
        <v>0</v>
      </c>
      <c r="P670" s="348">
        <f t="shared" si="378"/>
        <v>0</v>
      </c>
      <c r="Q670" s="348">
        <f t="shared" si="378"/>
        <v>0</v>
      </c>
      <c r="R670" s="348">
        <f t="shared" si="378"/>
        <v>0</v>
      </c>
      <c r="S670" s="348">
        <f t="shared" si="378"/>
        <v>0</v>
      </c>
      <c r="T670" s="44">
        <f t="shared" si="378"/>
        <v>0</v>
      </c>
      <c r="U670" s="348">
        <f t="shared" si="378"/>
        <v>0</v>
      </c>
      <c r="V670" s="225" t="s">
        <v>387</v>
      </c>
      <c r="W670" s="348">
        <f t="shared" si="378"/>
        <v>2713</v>
      </c>
      <c r="X670" s="348">
        <f t="shared" si="378"/>
        <v>8426673.6100000013</v>
      </c>
      <c r="Y670" s="348">
        <f t="shared" si="378"/>
        <v>0</v>
      </c>
      <c r="Z670" s="348">
        <f t="shared" si="378"/>
        <v>0</v>
      </c>
      <c r="AA670" s="348">
        <f t="shared" si="378"/>
        <v>0</v>
      </c>
      <c r="AB670" s="348">
        <f t="shared" si="378"/>
        <v>0</v>
      </c>
      <c r="AC670" s="348">
        <f t="shared" si="378"/>
        <v>0</v>
      </c>
      <c r="AD670" s="348">
        <f t="shared" si="378"/>
        <v>0</v>
      </c>
      <c r="AE670" s="348">
        <f t="shared" si="378"/>
        <v>0</v>
      </c>
      <c r="AF670" s="348">
        <f t="shared" si="378"/>
        <v>0</v>
      </c>
      <c r="AG670" s="348">
        <f t="shared" si="378"/>
        <v>0</v>
      </c>
      <c r="AH670" s="348">
        <f t="shared" si="378"/>
        <v>0</v>
      </c>
      <c r="AI670" s="348">
        <f t="shared" si="378"/>
        <v>0</v>
      </c>
      <c r="AJ670" s="348">
        <f t="shared" si="378"/>
        <v>264712.26</v>
      </c>
      <c r="AK670" s="348">
        <f t="shared" si="378"/>
        <v>132356.13</v>
      </c>
      <c r="AL670" s="348">
        <f t="shared" si="378"/>
        <v>0</v>
      </c>
      <c r="AM670" s="352"/>
      <c r="AN670" s="352"/>
    </row>
    <row r="671" spans="1:40" s="19" customFormat="1" ht="12.75" hidden="1" customHeight="1">
      <c r="A671" s="519" t="s">
        <v>39</v>
      </c>
      <c r="B671" s="520"/>
      <c r="C671" s="520"/>
      <c r="D671" s="520"/>
      <c r="E671" s="520"/>
      <c r="F671" s="520"/>
      <c r="G671" s="520"/>
      <c r="H671" s="520"/>
      <c r="I671" s="520"/>
      <c r="J671" s="520"/>
      <c r="K671" s="520"/>
      <c r="L671" s="520"/>
      <c r="M671" s="520"/>
      <c r="N671" s="520"/>
      <c r="O671" s="520"/>
      <c r="P671" s="520"/>
      <c r="Q671" s="520"/>
      <c r="R671" s="520"/>
      <c r="S671" s="520"/>
      <c r="T671" s="520"/>
      <c r="U671" s="520"/>
      <c r="V671" s="520"/>
      <c r="W671" s="520"/>
      <c r="X671" s="520"/>
      <c r="Y671" s="520"/>
      <c r="Z671" s="520"/>
      <c r="AA671" s="520"/>
      <c r="AB671" s="520"/>
      <c r="AC671" s="520"/>
      <c r="AD671" s="520"/>
      <c r="AE671" s="520"/>
      <c r="AF671" s="520"/>
      <c r="AG671" s="520"/>
      <c r="AH671" s="520"/>
      <c r="AI671" s="520"/>
      <c r="AJ671" s="520"/>
      <c r="AK671" s="520"/>
      <c r="AL671" s="521"/>
      <c r="AM671" s="352"/>
      <c r="AN671" s="352"/>
    </row>
    <row r="672" spans="1:40" s="19" customFormat="1" ht="12.75" customHeight="1">
      <c r="A672" s="680" t="s">
        <v>1172</v>
      </c>
      <c r="B672" s="680"/>
      <c r="C672" s="498"/>
      <c r="D672" s="498"/>
      <c r="E672" s="498"/>
      <c r="F672" s="498"/>
      <c r="G672" s="681">
        <f>G344</f>
        <v>1194178.03</v>
      </c>
      <c r="H672" s="681">
        <f>H344</f>
        <v>0</v>
      </c>
      <c r="I672" s="681">
        <f>I344</f>
        <v>0</v>
      </c>
      <c r="J672" s="498"/>
      <c r="K672" s="681">
        <f>K344</f>
        <v>0</v>
      </c>
      <c r="L672" s="498"/>
      <c r="M672" s="681">
        <f>M344</f>
        <v>0</v>
      </c>
      <c r="N672" s="498"/>
      <c r="O672" s="681">
        <f>O344</f>
        <v>0</v>
      </c>
      <c r="P672" s="498"/>
      <c r="Q672" s="681">
        <f>Q344</f>
        <v>0</v>
      </c>
      <c r="R672" s="498"/>
      <c r="S672" s="681">
        <f>S344</f>
        <v>0</v>
      </c>
      <c r="T672" s="682">
        <v>0</v>
      </c>
      <c r="U672" s="681">
        <f>U344</f>
        <v>0</v>
      </c>
      <c r="V672" s="682" t="s">
        <v>998</v>
      </c>
      <c r="W672" s="681">
        <f>W344</f>
        <v>403.1</v>
      </c>
      <c r="X672" s="681">
        <f>X344</f>
        <v>1150379.31</v>
      </c>
      <c r="Y672" s="681">
        <f>Y344</f>
        <v>0</v>
      </c>
      <c r="Z672" s="681">
        <f>Z344</f>
        <v>0</v>
      </c>
      <c r="AA672" s="681">
        <f>AA344</f>
        <v>0</v>
      </c>
      <c r="AB672" s="681">
        <f>AB344</f>
        <v>0</v>
      </c>
      <c r="AC672" s="445">
        <v>0</v>
      </c>
      <c r="AD672" s="445">
        <v>0</v>
      </c>
      <c r="AE672" s="445">
        <v>0</v>
      </c>
      <c r="AF672" s="445">
        <v>0</v>
      </c>
      <c r="AG672" s="445">
        <v>0</v>
      </c>
      <c r="AH672" s="445">
        <v>0</v>
      </c>
      <c r="AI672" s="681">
        <f>AI344</f>
        <v>0</v>
      </c>
      <c r="AJ672" s="681">
        <f>AJ344</f>
        <v>27208.3</v>
      </c>
      <c r="AK672" s="681">
        <f>AK344</f>
        <v>16590.419999999998</v>
      </c>
      <c r="AL672" s="445">
        <v>0</v>
      </c>
      <c r="AM672" s="679"/>
      <c r="AN672" s="352"/>
    </row>
    <row r="673" spans="1:40" s="19" customFormat="1" ht="9" customHeight="1">
      <c r="A673" s="349">
        <v>2</v>
      </c>
      <c r="B673" s="68" t="s">
        <v>991</v>
      </c>
      <c r="C673" s="348">
        <v>373.12</v>
      </c>
      <c r="D673" s="343"/>
      <c r="E673" s="348"/>
      <c r="F673" s="348"/>
      <c r="G673" s="348">
        <v>1106028</v>
      </c>
      <c r="H673" s="348">
        <f t="shared" ref="H673:H675" si="379">I673+K673+M673+O673+Q673+S673</f>
        <v>0</v>
      </c>
      <c r="I673" s="129">
        <v>0</v>
      </c>
      <c r="J673" s="129">
        <v>0</v>
      </c>
      <c r="K673" s="129">
        <v>0</v>
      </c>
      <c r="L673" s="129">
        <v>0</v>
      </c>
      <c r="M673" s="129">
        <v>0</v>
      </c>
      <c r="N673" s="348">
        <v>0</v>
      </c>
      <c r="O673" s="348">
        <v>0</v>
      </c>
      <c r="P673" s="348">
        <v>0</v>
      </c>
      <c r="Q673" s="348">
        <v>0</v>
      </c>
      <c r="R673" s="348">
        <v>0</v>
      </c>
      <c r="S673" s="348">
        <v>0</v>
      </c>
      <c r="T673" s="44">
        <v>0</v>
      </c>
      <c r="U673" s="348">
        <v>0</v>
      </c>
      <c r="V673" s="225" t="s">
        <v>998</v>
      </c>
      <c r="W673" s="351">
        <v>342</v>
      </c>
      <c r="X673" s="348">
        <f t="shared" ref="X673:X675" si="380">ROUND(G673/100*95.5,2)</f>
        <v>1056256.74</v>
      </c>
      <c r="Y673" s="351">
        <v>0</v>
      </c>
      <c r="Z673" s="351">
        <v>0</v>
      </c>
      <c r="AA673" s="351">
        <v>0</v>
      </c>
      <c r="AB673" s="351">
        <v>0</v>
      </c>
      <c r="AC673" s="351">
        <v>0</v>
      </c>
      <c r="AD673" s="351">
        <v>0</v>
      </c>
      <c r="AE673" s="351">
        <v>0</v>
      </c>
      <c r="AF673" s="351">
        <v>0</v>
      </c>
      <c r="AG673" s="351">
        <v>0</v>
      </c>
      <c r="AH673" s="351">
        <v>0</v>
      </c>
      <c r="AI673" s="351">
        <v>0</v>
      </c>
      <c r="AJ673" s="351">
        <f t="shared" ref="AJ673:AJ675" si="381">ROUND(G673/100*3,2)</f>
        <v>33180.839999999997</v>
      </c>
      <c r="AK673" s="351">
        <f t="shared" ref="AK673:AK675" si="382">ROUND(G673/100*1.5,2)</f>
        <v>16590.419999999998</v>
      </c>
      <c r="AL673" s="351">
        <v>0</v>
      </c>
      <c r="AM673" s="352"/>
      <c r="AN673" s="352"/>
    </row>
    <row r="674" spans="1:40" s="19" customFormat="1" ht="9" customHeight="1">
      <c r="A674" s="349">
        <v>3</v>
      </c>
      <c r="B674" s="68" t="s">
        <v>992</v>
      </c>
      <c r="C674" s="348">
        <v>370.82</v>
      </c>
      <c r="D674" s="343"/>
      <c r="E674" s="348"/>
      <c r="F674" s="348"/>
      <c r="G674" s="348">
        <v>1106028</v>
      </c>
      <c r="H674" s="348">
        <f t="shared" si="379"/>
        <v>0</v>
      </c>
      <c r="I674" s="129">
        <v>0</v>
      </c>
      <c r="J674" s="129">
        <v>0</v>
      </c>
      <c r="K674" s="129">
        <v>0</v>
      </c>
      <c r="L674" s="129">
        <v>0</v>
      </c>
      <c r="M674" s="129">
        <v>0</v>
      </c>
      <c r="N674" s="348">
        <v>0</v>
      </c>
      <c r="O674" s="348">
        <v>0</v>
      </c>
      <c r="P674" s="348">
        <v>0</v>
      </c>
      <c r="Q674" s="348">
        <v>0</v>
      </c>
      <c r="R674" s="348">
        <v>0</v>
      </c>
      <c r="S674" s="348">
        <v>0</v>
      </c>
      <c r="T674" s="44">
        <v>0</v>
      </c>
      <c r="U674" s="348">
        <v>0</v>
      </c>
      <c r="V674" s="225" t="s">
        <v>998</v>
      </c>
      <c r="W674" s="351">
        <v>342</v>
      </c>
      <c r="X674" s="348">
        <f t="shared" si="380"/>
        <v>1056256.74</v>
      </c>
      <c r="Y674" s="351">
        <v>0</v>
      </c>
      <c r="Z674" s="351">
        <v>0</v>
      </c>
      <c r="AA674" s="351">
        <v>0</v>
      </c>
      <c r="AB674" s="351">
        <v>0</v>
      </c>
      <c r="AC674" s="351">
        <v>0</v>
      </c>
      <c r="AD674" s="351">
        <v>0</v>
      </c>
      <c r="AE674" s="351">
        <v>0</v>
      </c>
      <c r="AF674" s="351">
        <v>0</v>
      </c>
      <c r="AG674" s="351">
        <v>0</v>
      </c>
      <c r="AH674" s="351">
        <v>0</v>
      </c>
      <c r="AI674" s="351">
        <v>0</v>
      </c>
      <c r="AJ674" s="351">
        <f t="shared" si="381"/>
        <v>33180.839999999997</v>
      </c>
      <c r="AK674" s="351">
        <f t="shared" si="382"/>
        <v>16590.419999999998</v>
      </c>
      <c r="AL674" s="351">
        <v>0</v>
      </c>
      <c r="AM674" s="352"/>
      <c r="AN674" s="352"/>
    </row>
    <row r="675" spans="1:40" s="19" customFormat="1" ht="9" customHeight="1">
      <c r="A675" s="349">
        <v>4</v>
      </c>
      <c r="B675" s="68" t="s">
        <v>993</v>
      </c>
      <c r="C675" s="348">
        <v>369.15</v>
      </c>
      <c r="D675" s="343"/>
      <c r="E675" s="348"/>
      <c r="F675" s="348"/>
      <c r="G675" s="348">
        <v>1106028</v>
      </c>
      <c r="H675" s="348">
        <f t="shared" si="379"/>
        <v>0</v>
      </c>
      <c r="I675" s="129">
        <v>0</v>
      </c>
      <c r="J675" s="129">
        <v>0</v>
      </c>
      <c r="K675" s="129">
        <v>0</v>
      </c>
      <c r="L675" s="129">
        <v>0</v>
      </c>
      <c r="M675" s="129">
        <v>0</v>
      </c>
      <c r="N675" s="348">
        <v>0</v>
      </c>
      <c r="O675" s="348">
        <v>0</v>
      </c>
      <c r="P675" s="348">
        <v>0</v>
      </c>
      <c r="Q675" s="348">
        <v>0</v>
      </c>
      <c r="R675" s="348">
        <v>0</v>
      </c>
      <c r="S675" s="348">
        <v>0</v>
      </c>
      <c r="T675" s="44">
        <v>0</v>
      </c>
      <c r="U675" s="348">
        <v>0</v>
      </c>
      <c r="V675" s="225" t="s">
        <v>998</v>
      </c>
      <c r="W675" s="351">
        <v>342</v>
      </c>
      <c r="X675" s="348">
        <f t="shared" si="380"/>
        <v>1056256.74</v>
      </c>
      <c r="Y675" s="351">
        <v>0</v>
      </c>
      <c r="Z675" s="351">
        <v>0</v>
      </c>
      <c r="AA675" s="351">
        <v>0</v>
      </c>
      <c r="AB675" s="351">
        <v>0</v>
      </c>
      <c r="AC675" s="351">
        <v>0</v>
      </c>
      <c r="AD675" s="351">
        <v>0</v>
      </c>
      <c r="AE675" s="351">
        <v>0</v>
      </c>
      <c r="AF675" s="351">
        <v>0</v>
      </c>
      <c r="AG675" s="351">
        <v>0</v>
      </c>
      <c r="AH675" s="351">
        <v>0</v>
      </c>
      <c r="AI675" s="351">
        <v>0</v>
      </c>
      <c r="AJ675" s="351">
        <f t="shared" si="381"/>
        <v>33180.839999999997</v>
      </c>
      <c r="AK675" s="351">
        <f t="shared" si="382"/>
        <v>16590.419999999998</v>
      </c>
      <c r="AL675" s="351">
        <v>0</v>
      </c>
      <c r="AM675" s="352"/>
      <c r="AN675" s="352"/>
    </row>
    <row r="676" spans="1:40" s="19" customFormat="1" ht="48.75" hidden="1" customHeight="1">
      <c r="A676" s="599" t="s">
        <v>38</v>
      </c>
      <c r="B676" s="599"/>
      <c r="C676" s="348">
        <f>SUM(C673:C675)</f>
        <v>1113.0900000000001</v>
      </c>
      <c r="D676" s="248"/>
      <c r="E676" s="225"/>
      <c r="F676" s="225"/>
      <c r="G676" s="348">
        <f>SUM(G673:G675)</f>
        <v>3318084</v>
      </c>
      <c r="H676" s="348">
        <f t="shared" ref="H676:AL676" si="383">SUM(H673:H675)</f>
        <v>0</v>
      </c>
      <c r="I676" s="348">
        <f t="shared" si="383"/>
        <v>0</v>
      </c>
      <c r="J676" s="348">
        <f t="shared" si="383"/>
        <v>0</v>
      </c>
      <c r="K676" s="348">
        <f t="shared" si="383"/>
        <v>0</v>
      </c>
      <c r="L676" s="348">
        <f t="shared" si="383"/>
        <v>0</v>
      </c>
      <c r="M676" s="348">
        <f t="shared" si="383"/>
        <v>0</v>
      </c>
      <c r="N676" s="348">
        <f t="shared" si="383"/>
        <v>0</v>
      </c>
      <c r="O676" s="348">
        <f t="shared" si="383"/>
        <v>0</v>
      </c>
      <c r="P676" s="348">
        <f t="shared" si="383"/>
        <v>0</v>
      </c>
      <c r="Q676" s="348">
        <f t="shared" si="383"/>
        <v>0</v>
      </c>
      <c r="R676" s="348">
        <f t="shared" si="383"/>
        <v>0</v>
      </c>
      <c r="S676" s="348">
        <f t="shared" si="383"/>
        <v>0</v>
      </c>
      <c r="T676" s="44">
        <f t="shared" si="383"/>
        <v>0</v>
      </c>
      <c r="U676" s="348">
        <f t="shared" si="383"/>
        <v>0</v>
      </c>
      <c r="V676" s="225" t="s">
        <v>387</v>
      </c>
      <c r="W676" s="348">
        <f t="shared" si="383"/>
        <v>1026</v>
      </c>
      <c r="X676" s="348">
        <f t="shared" si="383"/>
        <v>3168770.2199999997</v>
      </c>
      <c r="Y676" s="348">
        <f t="shared" si="383"/>
        <v>0</v>
      </c>
      <c r="Z676" s="348">
        <f t="shared" si="383"/>
        <v>0</v>
      </c>
      <c r="AA676" s="348">
        <f t="shared" si="383"/>
        <v>0</v>
      </c>
      <c r="AB676" s="348">
        <f t="shared" si="383"/>
        <v>0</v>
      </c>
      <c r="AC676" s="348">
        <f t="shared" si="383"/>
        <v>0</v>
      </c>
      <c r="AD676" s="348">
        <f t="shared" si="383"/>
        <v>0</v>
      </c>
      <c r="AE676" s="348">
        <f t="shared" si="383"/>
        <v>0</v>
      </c>
      <c r="AF676" s="348">
        <f t="shared" si="383"/>
        <v>0</v>
      </c>
      <c r="AG676" s="348">
        <f t="shared" si="383"/>
        <v>0</v>
      </c>
      <c r="AH676" s="348">
        <f t="shared" si="383"/>
        <v>0</v>
      </c>
      <c r="AI676" s="348">
        <f t="shared" si="383"/>
        <v>0</v>
      </c>
      <c r="AJ676" s="348">
        <f t="shared" si="383"/>
        <v>99542.51999999999</v>
      </c>
      <c r="AK676" s="348">
        <f t="shared" si="383"/>
        <v>49771.259999999995</v>
      </c>
      <c r="AL676" s="348">
        <f t="shared" si="383"/>
        <v>0</v>
      </c>
      <c r="AM676" s="352"/>
      <c r="AN676" s="352"/>
    </row>
    <row r="677" spans="1:40" s="19" customFormat="1" ht="12.75" hidden="1" customHeight="1">
      <c r="A677" s="519" t="s">
        <v>1060</v>
      </c>
      <c r="B677" s="520"/>
      <c r="C677" s="520"/>
      <c r="D677" s="520"/>
      <c r="E677" s="520"/>
      <c r="F677" s="520"/>
      <c r="G677" s="520"/>
      <c r="H677" s="520"/>
      <c r="I677" s="520"/>
      <c r="J677" s="520"/>
      <c r="K677" s="520"/>
      <c r="L677" s="520"/>
      <c r="M677" s="520"/>
      <c r="N677" s="520"/>
      <c r="O677" s="520"/>
      <c r="P677" s="520"/>
      <c r="Q677" s="520"/>
      <c r="R677" s="520"/>
      <c r="S677" s="520"/>
      <c r="T677" s="520"/>
      <c r="U677" s="520"/>
      <c r="V677" s="520"/>
      <c r="W677" s="520"/>
      <c r="X677" s="520"/>
      <c r="Y677" s="520"/>
      <c r="Z677" s="520"/>
      <c r="AA677" s="520"/>
      <c r="AB677" s="520"/>
      <c r="AC677" s="520"/>
      <c r="AD677" s="520"/>
      <c r="AE677" s="520"/>
      <c r="AF677" s="520"/>
      <c r="AG677" s="520"/>
      <c r="AH677" s="520"/>
      <c r="AI677" s="520"/>
      <c r="AJ677" s="520"/>
      <c r="AK677" s="520"/>
      <c r="AL677" s="521"/>
      <c r="AM677" s="352"/>
      <c r="AN677" s="352"/>
    </row>
    <row r="678" spans="1:40" s="19" customFormat="1" ht="9" hidden="1" customHeight="1">
      <c r="A678" s="349">
        <v>245</v>
      </c>
      <c r="B678" s="346" t="s">
        <v>994</v>
      </c>
      <c r="C678" s="348">
        <v>869</v>
      </c>
      <c r="D678" s="343"/>
      <c r="E678" s="225"/>
      <c r="F678" s="225"/>
      <c r="G678" s="225">
        <v>2147096</v>
      </c>
      <c r="H678" s="348">
        <f t="shared" ref="H678" si="384">I678+K678+M678+O678+Q678+S678</f>
        <v>0</v>
      </c>
      <c r="I678" s="129">
        <v>0</v>
      </c>
      <c r="J678" s="129">
        <v>0</v>
      </c>
      <c r="K678" s="129">
        <v>0</v>
      </c>
      <c r="L678" s="129">
        <v>0</v>
      </c>
      <c r="M678" s="129">
        <v>0</v>
      </c>
      <c r="N678" s="348">
        <v>0</v>
      </c>
      <c r="O678" s="348">
        <v>0</v>
      </c>
      <c r="P678" s="348">
        <v>0</v>
      </c>
      <c r="Q678" s="348">
        <v>0</v>
      </c>
      <c r="R678" s="348">
        <v>0</v>
      </c>
      <c r="S678" s="348">
        <v>0</v>
      </c>
      <c r="T678" s="44">
        <v>0</v>
      </c>
      <c r="U678" s="348">
        <v>0</v>
      </c>
      <c r="V678" s="225" t="s">
        <v>997</v>
      </c>
      <c r="W678" s="351">
        <v>644</v>
      </c>
      <c r="X678" s="348">
        <f t="shared" ref="X678" si="385">ROUND(G678/100*95.5,2)</f>
        <v>2050476.68</v>
      </c>
      <c r="Y678" s="351">
        <v>0</v>
      </c>
      <c r="Z678" s="351">
        <v>0</v>
      </c>
      <c r="AA678" s="351">
        <v>0</v>
      </c>
      <c r="AB678" s="351">
        <v>0</v>
      </c>
      <c r="AC678" s="351">
        <v>0</v>
      </c>
      <c r="AD678" s="351">
        <v>0</v>
      </c>
      <c r="AE678" s="351">
        <v>0</v>
      </c>
      <c r="AF678" s="351">
        <v>0</v>
      </c>
      <c r="AG678" s="351">
        <v>0</v>
      </c>
      <c r="AH678" s="351">
        <v>0</v>
      </c>
      <c r="AI678" s="351">
        <v>0</v>
      </c>
      <c r="AJ678" s="351">
        <f t="shared" ref="AJ678" si="386">ROUND(G678/100*3,2)</f>
        <v>64412.88</v>
      </c>
      <c r="AK678" s="351">
        <f t="shared" ref="AK678" si="387">ROUND(G678/100*1.5,2)</f>
        <v>32206.44</v>
      </c>
      <c r="AL678" s="351">
        <v>0</v>
      </c>
      <c r="AM678" s="352"/>
      <c r="AN678" s="352"/>
    </row>
    <row r="679" spans="1:40" s="19" customFormat="1" ht="28.5" hidden="1" customHeight="1">
      <c r="A679" s="599" t="s">
        <v>1061</v>
      </c>
      <c r="B679" s="599"/>
      <c r="C679" s="348">
        <f>SUM(C678)</f>
        <v>869</v>
      </c>
      <c r="D679" s="248"/>
      <c r="E679" s="225"/>
      <c r="F679" s="225"/>
      <c r="G679" s="348">
        <f>SUM(G678)</f>
        <v>2147096</v>
      </c>
      <c r="H679" s="348">
        <f t="shared" ref="H679:AN679" si="388">SUM(H678)</f>
        <v>0</v>
      </c>
      <c r="I679" s="348">
        <f t="shared" si="388"/>
        <v>0</v>
      </c>
      <c r="J679" s="348">
        <f t="shared" si="388"/>
        <v>0</v>
      </c>
      <c r="K679" s="348">
        <f t="shared" si="388"/>
        <v>0</v>
      </c>
      <c r="L679" s="348">
        <f t="shared" si="388"/>
        <v>0</v>
      </c>
      <c r="M679" s="348">
        <f t="shared" si="388"/>
        <v>0</v>
      </c>
      <c r="N679" s="348">
        <f t="shared" si="388"/>
        <v>0</v>
      </c>
      <c r="O679" s="348">
        <f t="shared" si="388"/>
        <v>0</v>
      </c>
      <c r="P679" s="348">
        <f t="shared" si="388"/>
        <v>0</v>
      </c>
      <c r="Q679" s="348">
        <f t="shared" si="388"/>
        <v>0</v>
      </c>
      <c r="R679" s="348">
        <f t="shared" si="388"/>
        <v>0</v>
      </c>
      <c r="S679" s="348">
        <f t="shared" si="388"/>
        <v>0</v>
      </c>
      <c r="T679" s="44">
        <f t="shared" si="388"/>
        <v>0</v>
      </c>
      <c r="U679" s="348">
        <f t="shared" si="388"/>
        <v>0</v>
      </c>
      <c r="V679" s="225" t="s">
        <v>387</v>
      </c>
      <c r="W679" s="348">
        <f t="shared" si="388"/>
        <v>644</v>
      </c>
      <c r="X679" s="348">
        <f t="shared" si="388"/>
        <v>2050476.68</v>
      </c>
      <c r="Y679" s="348">
        <f t="shared" si="388"/>
        <v>0</v>
      </c>
      <c r="Z679" s="348">
        <f t="shared" si="388"/>
        <v>0</v>
      </c>
      <c r="AA679" s="348">
        <f t="shared" si="388"/>
        <v>0</v>
      </c>
      <c r="AB679" s="348">
        <f t="shared" si="388"/>
        <v>0</v>
      </c>
      <c r="AC679" s="348">
        <f t="shared" si="388"/>
        <v>0</v>
      </c>
      <c r="AD679" s="348">
        <f t="shared" si="388"/>
        <v>0</v>
      </c>
      <c r="AE679" s="348">
        <f t="shared" si="388"/>
        <v>0</v>
      </c>
      <c r="AF679" s="348">
        <f t="shared" si="388"/>
        <v>0</v>
      </c>
      <c r="AG679" s="348">
        <f t="shared" si="388"/>
        <v>0</v>
      </c>
      <c r="AH679" s="348">
        <f t="shared" si="388"/>
        <v>0</v>
      </c>
      <c r="AI679" s="348">
        <f t="shared" si="388"/>
        <v>0</v>
      </c>
      <c r="AJ679" s="348">
        <f t="shared" si="388"/>
        <v>64412.88</v>
      </c>
      <c r="AK679" s="348">
        <f t="shared" si="388"/>
        <v>32206.44</v>
      </c>
      <c r="AL679" s="348">
        <f t="shared" si="388"/>
        <v>0</v>
      </c>
      <c r="AM679" s="348">
        <f t="shared" si="388"/>
        <v>0</v>
      </c>
      <c r="AN679" s="348">
        <f t="shared" si="388"/>
        <v>0</v>
      </c>
    </row>
    <row r="680" spans="1:40" s="19" customFormat="1" ht="12" hidden="1" customHeight="1">
      <c r="A680" s="519" t="s">
        <v>44</v>
      </c>
      <c r="B680" s="520"/>
      <c r="C680" s="520"/>
      <c r="D680" s="520"/>
      <c r="E680" s="520"/>
      <c r="F680" s="520"/>
      <c r="G680" s="520"/>
      <c r="H680" s="520"/>
      <c r="I680" s="520"/>
      <c r="J680" s="520"/>
      <c r="K680" s="520"/>
      <c r="L680" s="520"/>
      <c r="M680" s="520"/>
      <c r="N680" s="520"/>
      <c r="O680" s="520"/>
      <c r="P680" s="520"/>
      <c r="Q680" s="520"/>
      <c r="R680" s="520"/>
      <c r="S680" s="520"/>
      <c r="T680" s="520"/>
      <c r="U680" s="520"/>
      <c r="V680" s="520"/>
      <c r="W680" s="520"/>
      <c r="X680" s="520"/>
      <c r="Y680" s="520"/>
      <c r="Z680" s="520"/>
      <c r="AA680" s="520"/>
      <c r="AB680" s="520"/>
      <c r="AC680" s="520"/>
      <c r="AD680" s="520"/>
      <c r="AE680" s="520"/>
      <c r="AF680" s="520"/>
      <c r="AG680" s="520"/>
      <c r="AH680" s="520"/>
      <c r="AI680" s="520"/>
      <c r="AJ680" s="520"/>
      <c r="AK680" s="520"/>
      <c r="AL680" s="521"/>
      <c r="AM680" s="352"/>
      <c r="AN680" s="352"/>
    </row>
    <row r="681" spans="1:40" s="19" customFormat="1" ht="9" hidden="1" customHeight="1">
      <c r="A681" s="349">
        <v>246</v>
      </c>
      <c r="B681" s="68" t="s">
        <v>983</v>
      </c>
      <c r="C681" s="348">
        <v>1205.5</v>
      </c>
      <c r="D681" s="343"/>
      <c r="E681" s="348"/>
      <c r="F681" s="348"/>
      <c r="G681" s="348">
        <v>1465002</v>
      </c>
      <c r="H681" s="348">
        <f t="shared" ref="H681:H688" si="389">I681+K681+M681+O681+Q681+S681</f>
        <v>0</v>
      </c>
      <c r="I681" s="129">
        <v>0</v>
      </c>
      <c r="J681" s="129">
        <v>0</v>
      </c>
      <c r="K681" s="129">
        <v>0</v>
      </c>
      <c r="L681" s="129">
        <v>0</v>
      </c>
      <c r="M681" s="129">
        <v>0</v>
      </c>
      <c r="N681" s="348">
        <v>0</v>
      </c>
      <c r="O681" s="348">
        <v>0</v>
      </c>
      <c r="P681" s="348">
        <v>0</v>
      </c>
      <c r="Q681" s="348">
        <v>0</v>
      </c>
      <c r="R681" s="348">
        <v>0</v>
      </c>
      <c r="S681" s="348">
        <v>0</v>
      </c>
      <c r="T681" s="44">
        <v>0</v>
      </c>
      <c r="U681" s="348">
        <v>0</v>
      </c>
      <c r="V681" s="225" t="s">
        <v>998</v>
      </c>
      <c r="W681" s="351">
        <v>453</v>
      </c>
      <c r="X681" s="348">
        <f t="shared" ref="X681:X688" si="390">ROUND(G681/100*95.5,2)</f>
        <v>1399076.91</v>
      </c>
      <c r="Y681" s="351">
        <v>0</v>
      </c>
      <c r="Z681" s="351">
        <v>0</v>
      </c>
      <c r="AA681" s="351">
        <v>0</v>
      </c>
      <c r="AB681" s="351">
        <v>0</v>
      </c>
      <c r="AC681" s="351">
        <v>0</v>
      </c>
      <c r="AD681" s="351">
        <v>0</v>
      </c>
      <c r="AE681" s="351">
        <v>0</v>
      </c>
      <c r="AF681" s="351">
        <v>0</v>
      </c>
      <c r="AG681" s="351">
        <v>0</v>
      </c>
      <c r="AH681" s="351">
        <v>0</v>
      </c>
      <c r="AI681" s="351">
        <v>0</v>
      </c>
      <c r="AJ681" s="351">
        <f t="shared" ref="AJ681:AJ688" si="391">ROUND(G681/100*3,2)</f>
        <v>43950.06</v>
      </c>
      <c r="AK681" s="351">
        <f t="shared" ref="AK681:AK688" si="392">ROUND(G681/100*1.5,2)</f>
        <v>21975.03</v>
      </c>
      <c r="AL681" s="351">
        <v>0</v>
      </c>
      <c r="AM681" s="352"/>
      <c r="AN681" s="352"/>
    </row>
    <row r="682" spans="1:40" s="19" customFormat="1" ht="9" hidden="1" customHeight="1">
      <c r="A682" s="349">
        <v>247</v>
      </c>
      <c r="B682" s="68" t="s">
        <v>984</v>
      </c>
      <c r="C682" s="348">
        <v>1151.7</v>
      </c>
      <c r="D682" s="343"/>
      <c r="E682" s="348"/>
      <c r="F682" s="348"/>
      <c r="G682" s="348">
        <v>1497342</v>
      </c>
      <c r="H682" s="348">
        <f t="shared" si="389"/>
        <v>0</v>
      </c>
      <c r="I682" s="129">
        <v>0</v>
      </c>
      <c r="J682" s="129">
        <v>0</v>
      </c>
      <c r="K682" s="129">
        <v>0</v>
      </c>
      <c r="L682" s="129">
        <v>0</v>
      </c>
      <c r="M682" s="129">
        <v>0</v>
      </c>
      <c r="N682" s="348">
        <v>0</v>
      </c>
      <c r="O682" s="348">
        <v>0</v>
      </c>
      <c r="P682" s="348">
        <v>0</v>
      </c>
      <c r="Q682" s="348">
        <v>0</v>
      </c>
      <c r="R682" s="348">
        <v>0</v>
      </c>
      <c r="S682" s="348">
        <v>0</v>
      </c>
      <c r="T682" s="44">
        <v>0</v>
      </c>
      <c r="U682" s="348">
        <v>0</v>
      </c>
      <c r="V682" s="225" t="s">
        <v>998</v>
      </c>
      <c r="W682" s="351">
        <v>463</v>
      </c>
      <c r="X682" s="348">
        <f t="shared" si="390"/>
        <v>1429961.61</v>
      </c>
      <c r="Y682" s="351">
        <v>0</v>
      </c>
      <c r="Z682" s="351">
        <v>0</v>
      </c>
      <c r="AA682" s="351">
        <v>0</v>
      </c>
      <c r="AB682" s="351">
        <v>0</v>
      </c>
      <c r="AC682" s="351">
        <v>0</v>
      </c>
      <c r="AD682" s="351">
        <v>0</v>
      </c>
      <c r="AE682" s="351">
        <v>0</v>
      </c>
      <c r="AF682" s="351">
        <v>0</v>
      </c>
      <c r="AG682" s="351">
        <v>0</v>
      </c>
      <c r="AH682" s="351">
        <v>0</v>
      </c>
      <c r="AI682" s="351">
        <v>0</v>
      </c>
      <c r="AJ682" s="351">
        <f t="shared" si="391"/>
        <v>44920.26</v>
      </c>
      <c r="AK682" s="351">
        <f t="shared" si="392"/>
        <v>22460.13</v>
      </c>
      <c r="AL682" s="351">
        <v>0</v>
      </c>
      <c r="AM682" s="352"/>
      <c r="AN682" s="352"/>
    </row>
    <row r="683" spans="1:40" s="19" customFormat="1" ht="9" hidden="1" customHeight="1">
      <c r="A683" s="349">
        <v>248</v>
      </c>
      <c r="B683" s="68" t="s">
        <v>985</v>
      </c>
      <c r="C683" s="348">
        <v>1264.8</v>
      </c>
      <c r="D683" s="343"/>
      <c r="E683" s="348"/>
      <c r="F683" s="348"/>
      <c r="G683" s="348">
        <v>1474704</v>
      </c>
      <c r="H683" s="348">
        <f t="shared" si="389"/>
        <v>0</v>
      </c>
      <c r="I683" s="129">
        <v>0</v>
      </c>
      <c r="J683" s="129">
        <v>0</v>
      </c>
      <c r="K683" s="129">
        <v>0</v>
      </c>
      <c r="L683" s="129">
        <v>0</v>
      </c>
      <c r="M683" s="129">
        <v>0</v>
      </c>
      <c r="N683" s="348">
        <v>0</v>
      </c>
      <c r="O683" s="348">
        <v>0</v>
      </c>
      <c r="P683" s="348">
        <v>0</v>
      </c>
      <c r="Q683" s="348">
        <v>0</v>
      </c>
      <c r="R683" s="348">
        <v>0</v>
      </c>
      <c r="S683" s="348">
        <v>0</v>
      </c>
      <c r="T683" s="44">
        <v>0</v>
      </c>
      <c r="U683" s="348">
        <v>0</v>
      </c>
      <c r="V683" s="225" t="s">
        <v>998</v>
      </c>
      <c r="W683" s="351">
        <v>456</v>
      </c>
      <c r="X683" s="348">
        <f t="shared" si="390"/>
        <v>1408342.32</v>
      </c>
      <c r="Y683" s="351">
        <v>0</v>
      </c>
      <c r="Z683" s="351">
        <v>0</v>
      </c>
      <c r="AA683" s="351">
        <v>0</v>
      </c>
      <c r="AB683" s="351">
        <v>0</v>
      </c>
      <c r="AC683" s="351">
        <v>0</v>
      </c>
      <c r="AD683" s="351">
        <v>0</v>
      </c>
      <c r="AE683" s="351">
        <v>0</v>
      </c>
      <c r="AF683" s="351">
        <v>0</v>
      </c>
      <c r="AG683" s="351">
        <v>0</v>
      </c>
      <c r="AH683" s="351">
        <v>0</v>
      </c>
      <c r="AI683" s="351">
        <v>0</v>
      </c>
      <c r="AJ683" s="351">
        <f t="shared" si="391"/>
        <v>44241.120000000003</v>
      </c>
      <c r="AK683" s="351">
        <f t="shared" si="392"/>
        <v>22120.560000000001</v>
      </c>
      <c r="AL683" s="351">
        <v>0</v>
      </c>
      <c r="AM683" s="352"/>
      <c r="AN683" s="352"/>
    </row>
    <row r="684" spans="1:40" s="19" customFormat="1" ht="9" hidden="1" customHeight="1">
      <c r="A684" s="349">
        <v>249</v>
      </c>
      <c r="B684" s="68" t="s">
        <v>986</v>
      </c>
      <c r="C684" s="348">
        <v>1195.5999999999999</v>
      </c>
      <c r="D684" s="343"/>
      <c r="E684" s="348"/>
      <c r="F684" s="348"/>
      <c r="G684" s="348">
        <v>1494108</v>
      </c>
      <c r="H684" s="348">
        <f t="shared" si="389"/>
        <v>0</v>
      </c>
      <c r="I684" s="129">
        <v>0</v>
      </c>
      <c r="J684" s="129">
        <v>0</v>
      </c>
      <c r="K684" s="129">
        <v>0</v>
      </c>
      <c r="L684" s="129">
        <v>0</v>
      </c>
      <c r="M684" s="129">
        <v>0</v>
      </c>
      <c r="N684" s="348">
        <v>0</v>
      </c>
      <c r="O684" s="348">
        <v>0</v>
      </c>
      <c r="P684" s="348">
        <v>0</v>
      </c>
      <c r="Q684" s="348">
        <v>0</v>
      </c>
      <c r="R684" s="348">
        <v>0</v>
      </c>
      <c r="S684" s="348">
        <v>0</v>
      </c>
      <c r="T684" s="44">
        <v>0</v>
      </c>
      <c r="U684" s="348">
        <v>0</v>
      </c>
      <c r="V684" s="225" t="s">
        <v>998</v>
      </c>
      <c r="W684" s="351">
        <v>462</v>
      </c>
      <c r="X684" s="348">
        <f t="shared" si="390"/>
        <v>1426873.14</v>
      </c>
      <c r="Y684" s="351">
        <v>0</v>
      </c>
      <c r="Z684" s="351">
        <v>0</v>
      </c>
      <c r="AA684" s="351">
        <v>0</v>
      </c>
      <c r="AB684" s="351">
        <v>0</v>
      </c>
      <c r="AC684" s="351">
        <v>0</v>
      </c>
      <c r="AD684" s="351">
        <v>0</v>
      </c>
      <c r="AE684" s="351">
        <v>0</v>
      </c>
      <c r="AF684" s="351">
        <v>0</v>
      </c>
      <c r="AG684" s="351">
        <v>0</v>
      </c>
      <c r="AH684" s="351">
        <v>0</v>
      </c>
      <c r="AI684" s="351">
        <v>0</v>
      </c>
      <c r="AJ684" s="351">
        <f t="shared" si="391"/>
        <v>44823.24</v>
      </c>
      <c r="AK684" s="351">
        <f t="shared" si="392"/>
        <v>22411.62</v>
      </c>
      <c r="AL684" s="351">
        <v>0</v>
      </c>
      <c r="AM684" s="352"/>
      <c r="AN684" s="352"/>
    </row>
    <row r="685" spans="1:40" s="19" customFormat="1" ht="9" hidden="1" customHeight="1">
      <c r="A685" s="349">
        <v>250</v>
      </c>
      <c r="B685" s="68" t="s">
        <v>987</v>
      </c>
      <c r="C685" s="348">
        <v>1268</v>
      </c>
      <c r="D685" s="343"/>
      <c r="E685" s="348"/>
      <c r="F685" s="348"/>
      <c r="G685" s="348">
        <v>1461768</v>
      </c>
      <c r="H685" s="348">
        <f t="shared" si="389"/>
        <v>0</v>
      </c>
      <c r="I685" s="129">
        <v>0</v>
      </c>
      <c r="J685" s="129">
        <v>0</v>
      </c>
      <c r="K685" s="129">
        <v>0</v>
      </c>
      <c r="L685" s="129">
        <v>0</v>
      </c>
      <c r="M685" s="129">
        <v>0</v>
      </c>
      <c r="N685" s="348">
        <v>0</v>
      </c>
      <c r="O685" s="348">
        <v>0</v>
      </c>
      <c r="P685" s="348">
        <v>0</v>
      </c>
      <c r="Q685" s="348">
        <v>0</v>
      </c>
      <c r="R685" s="348">
        <v>0</v>
      </c>
      <c r="S685" s="348">
        <v>0</v>
      </c>
      <c r="T685" s="44">
        <v>0</v>
      </c>
      <c r="U685" s="348">
        <v>0</v>
      </c>
      <c r="V685" s="225" t="s">
        <v>998</v>
      </c>
      <c r="W685" s="351">
        <v>452</v>
      </c>
      <c r="X685" s="348">
        <f t="shared" si="390"/>
        <v>1395988.44</v>
      </c>
      <c r="Y685" s="351">
        <v>0</v>
      </c>
      <c r="Z685" s="351">
        <v>0</v>
      </c>
      <c r="AA685" s="351">
        <v>0</v>
      </c>
      <c r="AB685" s="351">
        <v>0</v>
      </c>
      <c r="AC685" s="351">
        <v>0</v>
      </c>
      <c r="AD685" s="351">
        <v>0</v>
      </c>
      <c r="AE685" s="351">
        <v>0</v>
      </c>
      <c r="AF685" s="351">
        <v>0</v>
      </c>
      <c r="AG685" s="351">
        <v>0</v>
      </c>
      <c r="AH685" s="351">
        <v>0</v>
      </c>
      <c r="AI685" s="351">
        <v>0</v>
      </c>
      <c r="AJ685" s="351">
        <f t="shared" si="391"/>
        <v>43853.04</v>
      </c>
      <c r="AK685" s="351">
        <f t="shared" si="392"/>
        <v>21926.52</v>
      </c>
      <c r="AL685" s="351">
        <v>0</v>
      </c>
      <c r="AM685" s="352"/>
      <c r="AN685" s="352"/>
    </row>
    <row r="686" spans="1:40" s="19" customFormat="1" ht="9" hidden="1" customHeight="1">
      <c r="A686" s="349">
        <v>251</v>
      </c>
      <c r="B686" s="68" t="s">
        <v>988</v>
      </c>
      <c r="C686" s="348">
        <v>1279.5999999999999</v>
      </c>
      <c r="D686" s="343"/>
      <c r="E686" s="348"/>
      <c r="F686" s="348"/>
      <c r="G686" s="348">
        <v>1500576</v>
      </c>
      <c r="H686" s="348">
        <f t="shared" si="389"/>
        <v>0</v>
      </c>
      <c r="I686" s="129">
        <v>0</v>
      </c>
      <c r="J686" s="129">
        <v>0</v>
      </c>
      <c r="K686" s="129">
        <v>0</v>
      </c>
      <c r="L686" s="129">
        <v>0</v>
      </c>
      <c r="M686" s="129">
        <v>0</v>
      </c>
      <c r="N686" s="348">
        <v>0</v>
      </c>
      <c r="O686" s="348">
        <v>0</v>
      </c>
      <c r="P686" s="348">
        <v>0</v>
      </c>
      <c r="Q686" s="348">
        <v>0</v>
      </c>
      <c r="R686" s="348">
        <v>0</v>
      </c>
      <c r="S686" s="348">
        <v>0</v>
      </c>
      <c r="T686" s="44">
        <v>0</v>
      </c>
      <c r="U686" s="348">
        <v>0</v>
      </c>
      <c r="V686" s="225" t="s">
        <v>998</v>
      </c>
      <c r="W686" s="351">
        <v>464</v>
      </c>
      <c r="X686" s="348">
        <f t="shared" si="390"/>
        <v>1433050.08</v>
      </c>
      <c r="Y686" s="351">
        <v>0</v>
      </c>
      <c r="Z686" s="351">
        <v>0</v>
      </c>
      <c r="AA686" s="351">
        <v>0</v>
      </c>
      <c r="AB686" s="351">
        <v>0</v>
      </c>
      <c r="AC686" s="351">
        <v>0</v>
      </c>
      <c r="AD686" s="351">
        <v>0</v>
      </c>
      <c r="AE686" s="351">
        <v>0</v>
      </c>
      <c r="AF686" s="351">
        <v>0</v>
      </c>
      <c r="AG686" s="351">
        <v>0</v>
      </c>
      <c r="AH686" s="351">
        <v>0</v>
      </c>
      <c r="AI686" s="351">
        <v>0</v>
      </c>
      <c r="AJ686" s="351">
        <f t="shared" si="391"/>
        <v>45017.279999999999</v>
      </c>
      <c r="AK686" s="351">
        <f t="shared" si="392"/>
        <v>22508.639999999999</v>
      </c>
      <c r="AL686" s="351">
        <v>0</v>
      </c>
      <c r="AM686" s="352"/>
      <c r="AN686" s="352"/>
    </row>
    <row r="687" spans="1:40" s="19" customFormat="1" ht="9" hidden="1" customHeight="1">
      <c r="A687" s="349">
        <v>252</v>
      </c>
      <c r="B687" s="68" t="s">
        <v>989</v>
      </c>
      <c r="C687" s="348">
        <v>727.4</v>
      </c>
      <c r="D687" s="343"/>
      <c r="E687" s="348"/>
      <c r="F687" s="348"/>
      <c r="G687" s="348">
        <v>1642872</v>
      </c>
      <c r="H687" s="348">
        <f t="shared" si="389"/>
        <v>0</v>
      </c>
      <c r="I687" s="129">
        <v>0</v>
      </c>
      <c r="J687" s="129">
        <v>0</v>
      </c>
      <c r="K687" s="129">
        <v>0</v>
      </c>
      <c r="L687" s="129">
        <v>0</v>
      </c>
      <c r="M687" s="129">
        <v>0</v>
      </c>
      <c r="N687" s="348">
        <v>0</v>
      </c>
      <c r="O687" s="348">
        <v>0</v>
      </c>
      <c r="P687" s="348">
        <v>0</v>
      </c>
      <c r="Q687" s="348">
        <v>0</v>
      </c>
      <c r="R687" s="348">
        <v>0</v>
      </c>
      <c r="S687" s="348">
        <v>0</v>
      </c>
      <c r="T687" s="44">
        <v>0</v>
      </c>
      <c r="U687" s="348">
        <v>0</v>
      </c>
      <c r="V687" s="225" t="s">
        <v>998</v>
      </c>
      <c r="W687" s="351">
        <v>508</v>
      </c>
      <c r="X687" s="348">
        <f t="shared" si="390"/>
        <v>1568942.76</v>
      </c>
      <c r="Y687" s="351">
        <v>0</v>
      </c>
      <c r="Z687" s="351">
        <v>0</v>
      </c>
      <c r="AA687" s="351">
        <v>0</v>
      </c>
      <c r="AB687" s="351">
        <v>0</v>
      </c>
      <c r="AC687" s="351">
        <v>0</v>
      </c>
      <c r="AD687" s="351">
        <v>0</v>
      </c>
      <c r="AE687" s="351">
        <v>0</v>
      </c>
      <c r="AF687" s="351">
        <v>0</v>
      </c>
      <c r="AG687" s="351">
        <v>0</v>
      </c>
      <c r="AH687" s="351">
        <v>0</v>
      </c>
      <c r="AI687" s="351">
        <v>0</v>
      </c>
      <c r="AJ687" s="351">
        <f t="shared" si="391"/>
        <v>49286.16</v>
      </c>
      <c r="AK687" s="351">
        <f t="shared" si="392"/>
        <v>24643.08</v>
      </c>
      <c r="AL687" s="351">
        <v>0</v>
      </c>
      <c r="AM687" s="352"/>
      <c r="AN687" s="352"/>
    </row>
    <row r="688" spans="1:40" s="19" customFormat="1" ht="9" hidden="1" customHeight="1">
      <c r="A688" s="349">
        <v>253</v>
      </c>
      <c r="B688" s="68" t="s">
        <v>990</v>
      </c>
      <c r="C688" s="348">
        <v>2785.4</v>
      </c>
      <c r="D688" s="343"/>
      <c r="E688" s="348"/>
      <c r="F688" s="348"/>
      <c r="G688" s="348">
        <v>2609838</v>
      </c>
      <c r="H688" s="348">
        <f t="shared" si="389"/>
        <v>0</v>
      </c>
      <c r="I688" s="129">
        <v>0</v>
      </c>
      <c r="J688" s="129">
        <v>0</v>
      </c>
      <c r="K688" s="129">
        <v>0</v>
      </c>
      <c r="L688" s="129">
        <v>0</v>
      </c>
      <c r="M688" s="129">
        <v>0</v>
      </c>
      <c r="N688" s="348">
        <v>0</v>
      </c>
      <c r="O688" s="348">
        <v>0</v>
      </c>
      <c r="P688" s="348">
        <v>0</v>
      </c>
      <c r="Q688" s="348">
        <v>0</v>
      </c>
      <c r="R688" s="348">
        <v>0</v>
      </c>
      <c r="S688" s="348">
        <v>0</v>
      </c>
      <c r="T688" s="44">
        <v>0</v>
      </c>
      <c r="U688" s="348">
        <v>0</v>
      </c>
      <c r="V688" s="225" t="s">
        <v>998</v>
      </c>
      <c r="W688" s="351">
        <v>807</v>
      </c>
      <c r="X688" s="348">
        <f t="shared" si="390"/>
        <v>2492395.29</v>
      </c>
      <c r="Y688" s="351">
        <v>0</v>
      </c>
      <c r="Z688" s="351">
        <v>0</v>
      </c>
      <c r="AA688" s="351">
        <v>0</v>
      </c>
      <c r="AB688" s="351">
        <v>0</v>
      </c>
      <c r="AC688" s="351">
        <v>0</v>
      </c>
      <c r="AD688" s="351">
        <v>0</v>
      </c>
      <c r="AE688" s="351">
        <v>0</v>
      </c>
      <c r="AF688" s="351">
        <v>0</v>
      </c>
      <c r="AG688" s="351">
        <v>0</v>
      </c>
      <c r="AH688" s="351">
        <v>0</v>
      </c>
      <c r="AI688" s="351">
        <v>0</v>
      </c>
      <c r="AJ688" s="351">
        <f t="shared" si="391"/>
        <v>78295.14</v>
      </c>
      <c r="AK688" s="351">
        <f t="shared" si="392"/>
        <v>39147.57</v>
      </c>
      <c r="AL688" s="351">
        <v>0</v>
      </c>
      <c r="AM688" s="352"/>
      <c r="AN688" s="352"/>
    </row>
    <row r="689" spans="1:40" s="19" customFormat="1" ht="22.5" hidden="1" customHeight="1">
      <c r="A689" s="599" t="s">
        <v>43</v>
      </c>
      <c r="B689" s="599"/>
      <c r="C689" s="348">
        <f>SUM(C681:C688)</f>
        <v>10878</v>
      </c>
      <c r="D689" s="248"/>
      <c r="E689" s="225"/>
      <c r="F689" s="225"/>
      <c r="G689" s="348">
        <f>SUM(G681:G688)</f>
        <v>13146210</v>
      </c>
      <c r="H689" s="348">
        <f t="shared" ref="H689:AL689" si="393">SUM(H681:H688)</f>
        <v>0</v>
      </c>
      <c r="I689" s="348">
        <f t="shared" si="393"/>
        <v>0</v>
      </c>
      <c r="J689" s="348">
        <f t="shared" si="393"/>
        <v>0</v>
      </c>
      <c r="K689" s="348">
        <f t="shared" si="393"/>
        <v>0</v>
      </c>
      <c r="L689" s="348">
        <f t="shared" si="393"/>
        <v>0</v>
      </c>
      <c r="M689" s="348">
        <f t="shared" si="393"/>
        <v>0</v>
      </c>
      <c r="N689" s="348">
        <f t="shared" si="393"/>
        <v>0</v>
      </c>
      <c r="O689" s="348">
        <f t="shared" si="393"/>
        <v>0</v>
      </c>
      <c r="P689" s="348">
        <f t="shared" si="393"/>
        <v>0</v>
      </c>
      <c r="Q689" s="348">
        <f t="shared" si="393"/>
        <v>0</v>
      </c>
      <c r="R689" s="348">
        <f t="shared" si="393"/>
        <v>0</v>
      </c>
      <c r="S689" s="348">
        <f t="shared" si="393"/>
        <v>0</v>
      </c>
      <c r="T689" s="44">
        <f t="shared" si="393"/>
        <v>0</v>
      </c>
      <c r="U689" s="348">
        <f t="shared" si="393"/>
        <v>0</v>
      </c>
      <c r="V689" s="225" t="s">
        <v>387</v>
      </c>
      <c r="W689" s="348">
        <f t="shared" si="393"/>
        <v>4065</v>
      </c>
      <c r="X689" s="348">
        <f t="shared" si="393"/>
        <v>12554630.550000001</v>
      </c>
      <c r="Y689" s="348">
        <f t="shared" si="393"/>
        <v>0</v>
      </c>
      <c r="Z689" s="348">
        <f t="shared" si="393"/>
        <v>0</v>
      </c>
      <c r="AA689" s="348">
        <f t="shared" si="393"/>
        <v>0</v>
      </c>
      <c r="AB689" s="348">
        <f t="shared" si="393"/>
        <v>0</v>
      </c>
      <c r="AC689" s="348">
        <f t="shared" si="393"/>
        <v>0</v>
      </c>
      <c r="AD689" s="348">
        <f t="shared" si="393"/>
        <v>0</v>
      </c>
      <c r="AE689" s="348">
        <f t="shared" si="393"/>
        <v>0</v>
      </c>
      <c r="AF689" s="348">
        <f t="shared" si="393"/>
        <v>0</v>
      </c>
      <c r="AG689" s="348">
        <f t="shared" si="393"/>
        <v>0</v>
      </c>
      <c r="AH689" s="348">
        <f t="shared" si="393"/>
        <v>0</v>
      </c>
      <c r="AI689" s="348">
        <f t="shared" si="393"/>
        <v>0</v>
      </c>
      <c r="AJ689" s="348">
        <f t="shared" si="393"/>
        <v>394386.30000000005</v>
      </c>
      <c r="AK689" s="348">
        <f t="shared" si="393"/>
        <v>197193.15000000002</v>
      </c>
      <c r="AL689" s="348">
        <f t="shared" si="393"/>
        <v>0</v>
      </c>
      <c r="AM689" s="352"/>
      <c r="AN689" s="352"/>
    </row>
    <row r="690" spans="1:40" s="19" customFormat="1" ht="11.25" hidden="1" customHeight="1">
      <c r="A690" s="519" t="s">
        <v>1074</v>
      </c>
      <c r="B690" s="520"/>
      <c r="C690" s="520"/>
      <c r="D690" s="520"/>
      <c r="E690" s="520"/>
      <c r="F690" s="520"/>
      <c r="G690" s="520"/>
      <c r="H690" s="520"/>
      <c r="I690" s="520"/>
      <c r="J690" s="520"/>
      <c r="K690" s="520"/>
      <c r="L690" s="520"/>
      <c r="M690" s="520"/>
      <c r="N690" s="520"/>
      <c r="O690" s="520"/>
      <c r="P690" s="520"/>
      <c r="Q690" s="520"/>
      <c r="R690" s="520"/>
      <c r="S690" s="520"/>
      <c r="T690" s="520"/>
      <c r="U690" s="520"/>
      <c r="V690" s="520"/>
      <c r="W690" s="520"/>
      <c r="X690" s="520"/>
      <c r="Y690" s="520"/>
      <c r="Z690" s="520"/>
      <c r="AA690" s="520"/>
      <c r="AB690" s="520"/>
      <c r="AC690" s="520"/>
      <c r="AD690" s="520"/>
      <c r="AE690" s="520"/>
      <c r="AF690" s="520"/>
      <c r="AG690" s="520"/>
      <c r="AH690" s="520"/>
      <c r="AI690" s="520"/>
      <c r="AJ690" s="520"/>
      <c r="AK690" s="520"/>
      <c r="AL690" s="521"/>
      <c r="AM690" s="352"/>
      <c r="AN690" s="352"/>
    </row>
    <row r="691" spans="1:40" s="19" customFormat="1" ht="9" hidden="1" customHeight="1">
      <c r="A691" s="349">
        <v>254</v>
      </c>
      <c r="B691" s="346" t="s">
        <v>995</v>
      </c>
      <c r="C691" s="348">
        <v>545.1</v>
      </c>
      <c r="D691" s="343"/>
      <c r="E691" s="225"/>
      <c r="F691" s="225"/>
      <c r="G691" s="225">
        <v>1422960</v>
      </c>
      <c r="H691" s="348">
        <f t="shared" ref="H691" si="394">I691+K691+M691+O691+Q691+S691</f>
        <v>0</v>
      </c>
      <c r="I691" s="129">
        <v>0</v>
      </c>
      <c r="J691" s="129">
        <v>0</v>
      </c>
      <c r="K691" s="129">
        <v>0</v>
      </c>
      <c r="L691" s="129">
        <v>0</v>
      </c>
      <c r="M691" s="129">
        <v>0</v>
      </c>
      <c r="N691" s="348">
        <v>0</v>
      </c>
      <c r="O691" s="348">
        <v>0</v>
      </c>
      <c r="P691" s="348">
        <v>0</v>
      </c>
      <c r="Q691" s="348">
        <v>0</v>
      </c>
      <c r="R691" s="348">
        <v>0</v>
      </c>
      <c r="S691" s="348">
        <v>0</v>
      </c>
      <c r="T691" s="44">
        <v>0</v>
      </c>
      <c r="U691" s="348">
        <v>0</v>
      </c>
      <c r="V691" s="225" t="s">
        <v>998</v>
      </c>
      <c r="W691" s="351">
        <v>440</v>
      </c>
      <c r="X691" s="348">
        <f t="shared" ref="X691" si="395">ROUND(G691/100*95.5,2)</f>
        <v>1358926.8</v>
      </c>
      <c r="Y691" s="351">
        <v>0</v>
      </c>
      <c r="Z691" s="351">
        <v>0</v>
      </c>
      <c r="AA691" s="351">
        <v>0</v>
      </c>
      <c r="AB691" s="351">
        <v>0</v>
      </c>
      <c r="AC691" s="351">
        <v>0</v>
      </c>
      <c r="AD691" s="351">
        <v>0</v>
      </c>
      <c r="AE691" s="351">
        <v>0</v>
      </c>
      <c r="AF691" s="351">
        <v>0</v>
      </c>
      <c r="AG691" s="351">
        <v>0</v>
      </c>
      <c r="AH691" s="351">
        <v>0</v>
      </c>
      <c r="AI691" s="351">
        <v>0</v>
      </c>
      <c r="AJ691" s="351">
        <f t="shared" ref="AJ691" si="396">ROUND(G691/100*3,2)</f>
        <v>42688.800000000003</v>
      </c>
      <c r="AK691" s="351">
        <f t="shared" ref="AK691" si="397">ROUND(G691/100*1.5,2)</f>
        <v>21344.400000000001</v>
      </c>
      <c r="AL691" s="351">
        <v>0</v>
      </c>
      <c r="AM691" s="352"/>
      <c r="AN691" s="352"/>
    </row>
    <row r="692" spans="1:40" s="19" customFormat="1" ht="26.25" hidden="1" customHeight="1">
      <c r="A692" s="599" t="s">
        <v>1075</v>
      </c>
      <c r="B692" s="599"/>
      <c r="C692" s="348">
        <f>SUM(C691)</f>
        <v>545.1</v>
      </c>
      <c r="D692" s="248"/>
      <c r="E692" s="225"/>
      <c r="F692" s="225"/>
      <c r="G692" s="348">
        <f>SUM(G691)</f>
        <v>1422960</v>
      </c>
      <c r="H692" s="348">
        <f t="shared" ref="H692:AL692" si="398">SUM(H691)</f>
        <v>0</v>
      </c>
      <c r="I692" s="348">
        <f t="shared" si="398"/>
        <v>0</v>
      </c>
      <c r="J692" s="348">
        <f t="shared" si="398"/>
        <v>0</v>
      </c>
      <c r="K692" s="348">
        <f t="shared" si="398"/>
        <v>0</v>
      </c>
      <c r="L692" s="348">
        <f t="shared" si="398"/>
        <v>0</v>
      </c>
      <c r="M692" s="348">
        <f t="shared" si="398"/>
        <v>0</v>
      </c>
      <c r="N692" s="348">
        <f t="shared" si="398"/>
        <v>0</v>
      </c>
      <c r="O692" s="348">
        <f t="shared" si="398"/>
        <v>0</v>
      </c>
      <c r="P692" s="348">
        <f t="shared" si="398"/>
        <v>0</v>
      </c>
      <c r="Q692" s="348">
        <f t="shared" si="398"/>
        <v>0</v>
      </c>
      <c r="R692" s="348">
        <f t="shared" si="398"/>
        <v>0</v>
      </c>
      <c r="S692" s="348">
        <f t="shared" si="398"/>
        <v>0</v>
      </c>
      <c r="T692" s="44">
        <f t="shared" si="398"/>
        <v>0</v>
      </c>
      <c r="U692" s="348">
        <f t="shared" si="398"/>
        <v>0</v>
      </c>
      <c r="V692" s="225" t="s">
        <v>387</v>
      </c>
      <c r="W692" s="348">
        <f t="shared" si="398"/>
        <v>440</v>
      </c>
      <c r="X692" s="348">
        <f t="shared" si="398"/>
        <v>1358926.8</v>
      </c>
      <c r="Y692" s="348">
        <f t="shared" si="398"/>
        <v>0</v>
      </c>
      <c r="Z692" s="348">
        <f t="shared" si="398"/>
        <v>0</v>
      </c>
      <c r="AA692" s="348">
        <f t="shared" si="398"/>
        <v>0</v>
      </c>
      <c r="AB692" s="348">
        <f t="shared" si="398"/>
        <v>0</v>
      </c>
      <c r="AC692" s="348">
        <f t="shared" si="398"/>
        <v>0</v>
      </c>
      <c r="AD692" s="348">
        <f t="shared" si="398"/>
        <v>0</v>
      </c>
      <c r="AE692" s="348">
        <f t="shared" si="398"/>
        <v>0</v>
      </c>
      <c r="AF692" s="348">
        <f t="shared" si="398"/>
        <v>0</v>
      </c>
      <c r="AG692" s="348">
        <f t="shared" si="398"/>
        <v>0</v>
      </c>
      <c r="AH692" s="348">
        <f t="shared" si="398"/>
        <v>0</v>
      </c>
      <c r="AI692" s="348">
        <f t="shared" si="398"/>
        <v>0</v>
      </c>
      <c r="AJ692" s="348">
        <f t="shared" si="398"/>
        <v>42688.800000000003</v>
      </c>
      <c r="AK692" s="348">
        <f t="shared" si="398"/>
        <v>21344.400000000001</v>
      </c>
      <c r="AL692" s="348">
        <f t="shared" si="398"/>
        <v>0</v>
      </c>
      <c r="AM692" s="352"/>
      <c r="AN692" s="352"/>
    </row>
    <row r="693" spans="1:40" s="19" customFormat="1" ht="26.25" customHeight="1">
      <c r="A693" s="678" t="s">
        <v>1173</v>
      </c>
      <c r="B693" s="683"/>
      <c r="C693" s="41"/>
      <c r="D693" s="676"/>
      <c r="E693" s="677"/>
      <c r="F693" s="677"/>
      <c r="G693" s="681">
        <f>G673+G674+G675</f>
        <v>3318084</v>
      </c>
      <c r="H693" s="500">
        <f t="shared" ref="H693" si="399">I693+K693+M693+O693+Q693+S693</f>
        <v>0</v>
      </c>
      <c r="I693" s="684">
        <v>0</v>
      </c>
      <c r="J693" s="499"/>
      <c r="K693" s="684">
        <v>0</v>
      </c>
      <c r="L693" s="499"/>
      <c r="M693" s="684">
        <v>0</v>
      </c>
      <c r="N693" s="499"/>
      <c r="O693" s="500">
        <v>0</v>
      </c>
      <c r="P693" s="499"/>
      <c r="Q693" s="500">
        <v>0</v>
      </c>
      <c r="R693" s="41"/>
      <c r="S693" s="500">
        <v>0</v>
      </c>
      <c r="T693" s="685">
        <v>0</v>
      </c>
      <c r="U693" s="500">
        <v>0</v>
      </c>
      <c r="V693" s="686" t="s">
        <v>998</v>
      </c>
      <c r="W693" s="681">
        <f>W673+W674+W675</f>
        <v>1026</v>
      </c>
      <c r="X693" s="681">
        <f t="shared" ref="X693:AL693" si="400">X673+X674+X675</f>
        <v>3168770.2199999997</v>
      </c>
      <c r="Y693" s="681">
        <f t="shared" si="400"/>
        <v>0</v>
      </c>
      <c r="Z693" s="681">
        <f t="shared" si="400"/>
        <v>0</v>
      </c>
      <c r="AA693" s="681">
        <f t="shared" si="400"/>
        <v>0</v>
      </c>
      <c r="AB693" s="681">
        <f t="shared" si="400"/>
        <v>0</v>
      </c>
      <c r="AC693" s="681">
        <f t="shared" si="400"/>
        <v>0</v>
      </c>
      <c r="AD693" s="681">
        <f t="shared" si="400"/>
        <v>0</v>
      </c>
      <c r="AE693" s="681">
        <f t="shared" si="400"/>
        <v>0</v>
      </c>
      <c r="AF693" s="681">
        <f t="shared" si="400"/>
        <v>0</v>
      </c>
      <c r="AG693" s="681">
        <f t="shared" si="400"/>
        <v>0</v>
      </c>
      <c r="AH693" s="681">
        <f t="shared" si="400"/>
        <v>0</v>
      </c>
      <c r="AI693" s="681">
        <f t="shared" si="400"/>
        <v>0</v>
      </c>
      <c r="AJ693" s="681">
        <f t="shared" si="400"/>
        <v>99542.51999999999</v>
      </c>
      <c r="AK693" s="681">
        <f t="shared" si="400"/>
        <v>49771.259999999995</v>
      </c>
      <c r="AL693" s="687">
        <v>0</v>
      </c>
      <c r="AM693" s="161"/>
      <c r="AN693" s="161"/>
    </row>
    <row r="694" spans="1:40" ht="41.25" customHeight="1">
      <c r="A694" s="659" t="s">
        <v>38</v>
      </c>
      <c r="B694" s="659"/>
      <c r="C694" s="9"/>
      <c r="D694" s="9"/>
      <c r="E694" s="7"/>
      <c r="F694" s="7"/>
      <c r="G694" s="467">
        <f>G344+G673+G674+G675</f>
        <v>4512262.03</v>
      </c>
      <c r="H694" s="451">
        <v>0</v>
      </c>
      <c r="I694" s="129">
        <v>0</v>
      </c>
      <c r="J694" s="129">
        <v>0</v>
      </c>
      <c r="K694" s="129">
        <v>0</v>
      </c>
      <c r="L694" s="451">
        <v>0</v>
      </c>
      <c r="M694" s="451">
        <v>0</v>
      </c>
      <c r="N694" s="451">
        <v>0</v>
      </c>
      <c r="O694" s="44">
        <v>0</v>
      </c>
      <c r="P694" s="451">
        <v>0</v>
      </c>
      <c r="Q694" s="467">
        <v>0</v>
      </c>
      <c r="R694" s="7"/>
      <c r="S694" s="467">
        <v>0</v>
      </c>
      <c r="T694" s="486">
        <v>0</v>
      </c>
      <c r="U694" s="487">
        <v>0</v>
      </c>
      <c r="V694" s="487" t="s">
        <v>1164</v>
      </c>
      <c r="W694" s="467">
        <f>W344+W673+W674+W675</f>
        <v>1429.1</v>
      </c>
      <c r="X694" s="467">
        <f>X344+X673+X674+X675</f>
        <v>4319149.53</v>
      </c>
      <c r="Y694" s="487">
        <v>0</v>
      </c>
      <c r="Z694" s="487">
        <v>0</v>
      </c>
      <c r="AA694" s="487">
        <v>0</v>
      </c>
      <c r="AB694" s="487">
        <v>0</v>
      </c>
      <c r="AC694" s="487">
        <v>0</v>
      </c>
      <c r="AD694" s="487">
        <v>0</v>
      </c>
      <c r="AE694" s="487">
        <v>0</v>
      </c>
      <c r="AF694" s="487">
        <v>0</v>
      </c>
      <c r="AG694" s="487">
        <v>0</v>
      </c>
      <c r="AH694" s="487">
        <v>0</v>
      </c>
      <c r="AI694" s="487">
        <v>0</v>
      </c>
      <c r="AJ694" s="467">
        <f>AJ344+AJ673+AJ674+AJ675</f>
        <v>126750.81999999999</v>
      </c>
      <c r="AK694" s="467">
        <f>AK344+AK673+AK674+AK675</f>
        <v>66361.679999999993</v>
      </c>
      <c r="AL694" s="487">
        <v>0</v>
      </c>
      <c r="AM694" s="153"/>
      <c r="AN694" s="153"/>
    </row>
    <row r="695" spans="1:40">
      <c r="C695" s="9"/>
      <c r="D695" s="9"/>
      <c r="E695" s="7"/>
      <c r="F695" s="7"/>
      <c r="J695" s="7"/>
      <c r="L695" s="7"/>
      <c r="N695" s="7"/>
      <c r="P695" s="7"/>
      <c r="R695" s="7"/>
      <c r="V695" s="10"/>
      <c r="AM695" s="153"/>
      <c r="AN695" s="153"/>
    </row>
    <row r="696" spans="1:40">
      <c r="C696" s="9"/>
      <c r="D696" s="9"/>
      <c r="E696" s="7"/>
      <c r="F696" s="7"/>
      <c r="J696" s="7"/>
      <c r="L696" s="7"/>
      <c r="N696" s="7"/>
      <c r="P696" s="7"/>
      <c r="R696" s="7"/>
      <c r="V696" s="10"/>
      <c r="AM696" s="153"/>
      <c r="AN696" s="153"/>
    </row>
    <row r="697" spans="1:40">
      <c r="C697" s="9"/>
      <c r="D697" s="9"/>
      <c r="E697" s="7"/>
      <c r="F697" s="7"/>
      <c r="J697" s="7"/>
      <c r="L697" s="7"/>
      <c r="N697" s="7"/>
      <c r="P697" s="7"/>
      <c r="R697" s="7"/>
      <c r="V697" s="10"/>
      <c r="AM697" s="153"/>
      <c r="AN697" s="153"/>
    </row>
    <row r="698" spans="1:40">
      <c r="C698" s="9"/>
      <c r="D698" s="9"/>
      <c r="E698" s="7"/>
      <c r="F698" s="7"/>
      <c r="J698" s="7"/>
      <c r="L698" s="7"/>
      <c r="N698" s="7"/>
      <c r="P698" s="7"/>
      <c r="R698" s="7"/>
      <c r="V698" s="10"/>
      <c r="AM698" s="153"/>
      <c r="AN698" s="153"/>
    </row>
    <row r="699" spans="1:40">
      <c r="C699" s="9"/>
      <c r="D699" s="9"/>
      <c r="E699" s="7"/>
      <c r="F699" s="7"/>
      <c r="J699" s="7"/>
      <c r="L699" s="7"/>
      <c r="N699" s="7"/>
      <c r="P699" s="7"/>
      <c r="R699" s="7"/>
      <c r="V699" s="10"/>
      <c r="AM699" s="153"/>
      <c r="AN699" s="153"/>
    </row>
    <row r="700" spans="1:40">
      <c r="C700" s="9"/>
      <c r="D700" s="9"/>
      <c r="E700" s="7"/>
      <c r="F700" s="7"/>
      <c r="J700" s="7"/>
      <c r="L700" s="7"/>
      <c r="N700" s="7"/>
      <c r="P700" s="7"/>
      <c r="R700" s="7"/>
      <c r="V700" s="10"/>
      <c r="AM700" s="153"/>
      <c r="AN700" s="153"/>
    </row>
    <row r="701" spans="1:40">
      <c r="C701" s="9"/>
      <c r="D701" s="9"/>
      <c r="E701" s="7"/>
      <c r="F701" s="7"/>
      <c r="J701" s="7"/>
      <c r="L701" s="7"/>
      <c r="N701" s="7"/>
      <c r="P701" s="7"/>
      <c r="R701" s="7"/>
      <c r="V701" s="10"/>
      <c r="AM701" s="153"/>
      <c r="AN701" s="153"/>
    </row>
    <row r="702" spans="1:40">
      <c r="C702" s="9"/>
      <c r="D702" s="9"/>
      <c r="E702" s="7"/>
      <c r="F702" s="7"/>
      <c r="J702" s="7"/>
      <c r="L702" s="7"/>
      <c r="N702" s="7"/>
      <c r="P702" s="7"/>
      <c r="R702" s="7"/>
      <c r="V702" s="10"/>
      <c r="AM702" s="153"/>
      <c r="AN702" s="153"/>
    </row>
    <row r="703" spans="1:40">
      <c r="C703" s="9"/>
      <c r="D703" s="9"/>
      <c r="E703" s="7"/>
      <c r="F703" s="7"/>
      <c r="J703" s="7"/>
      <c r="L703" s="7"/>
      <c r="N703" s="7"/>
      <c r="P703" s="7"/>
      <c r="R703" s="7"/>
      <c r="V703" s="10"/>
      <c r="AM703" s="153"/>
      <c r="AN703" s="153"/>
    </row>
    <row r="704" spans="1:40">
      <c r="C704" s="9"/>
      <c r="D704" s="9"/>
      <c r="E704" s="7"/>
      <c r="F704" s="7"/>
      <c r="J704" s="7"/>
      <c r="L704" s="7"/>
      <c r="N704" s="7"/>
      <c r="P704" s="7"/>
      <c r="R704" s="7"/>
      <c r="V704" s="10"/>
      <c r="AM704" s="153"/>
      <c r="AN704" s="153"/>
    </row>
    <row r="705" spans="3:40">
      <c r="C705" s="9"/>
      <c r="D705" s="9"/>
      <c r="E705" s="7"/>
      <c r="F705" s="7"/>
      <c r="J705" s="7"/>
      <c r="L705" s="7"/>
      <c r="N705" s="7"/>
      <c r="P705" s="7"/>
      <c r="R705" s="7"/>
      <c r="V705" s="10"/>
      <c r="AM705" s="153"/>
      <c r="AN705" s="153"/>
    </row>
  </sheetData>
  <autoFilter ref="A11:AN692">
    <filterColumn colId="1">
      <filters>
        <filter val="пгт. Белая Березка, ул. Ленина, д. 18"/>
        <filter val="пгт. Белая Березка, ул. Ленина, д. 26"/>
        <filter val="пгт. Белая Березка, ул. Ленина, д. 9"/>
        <filter val="пгт. Белая Березка, ул. Чапаева, д. 6"/>
      </filters>
    </filterColumn>
  </autoFilter>
  <mergeCells count="221">
    <mergeCell ref="A693:B693"/>
    <mergeCell ref="AB2:AL2"/>
    <mergeCell ref="A694:B694"/>
    <mergeCell ref="AI1:AL1"/>
    <mergeCell ref="A161:B161"/>
    <mergeCell ref="A13:AN13"/>
    <mergeCell ref="A15:AN15"/>
    <mergeCell ref="Q8:Q10"/>
    <mergeCell ref="R8:R10"/>
    <mergeCell ref="S8:S10"/>
    <mergeCell ref="T8:T10"/>
    <mergeCell ref="U8:U10"/>
    <mergeCell ref="W8:W10"/>
    <mergeCell ref="X8:X10"/>
    <mergeCell ref="Y8:Y10"/>
    <mergeCell ref="P8:P10"/>
    <mergeCell ref="C8:C10"/>
    <mergeCell ref="Z8:Z10"/>
    <mergeCell ref="AA8:AA10"/>
    <mergeCell ref="AB8:AB10"/>
    <mergeCell ref="AJ8:AJ10"/>
    <mergeCell ref="AK8:AK10"/>
    <mergeCell ref="AL8:AL10"/>
    <mergeCell ref="AD8:AD10"/>
    <mergeCell ref="AI8:AI10"/>
    <mergeCell ref="A5:A10"/>
    <mergeCell ref="AA6:AB7"/>
    <mergeCell ref="AG8:AG10"/>
    <mergeCell ref="AH8:AH10"/>
    <mergeCell ref="V8:V10"/>
    <mergeCell ref="V6:X7"/>
    <mergeCell ref="H5:AD5"/>
    <mergeCell ref="H6:S6"/>
    <mergeCell ref="AE5:AL5"/>
    <mergeCell ref="D8:D10"/>
    <mergeCell ref="G8:G10"/>
    <mergeCell ref="I8:I10"/>
    <mergeCell ref="AE6:AF7"/>
    <mergeCell ref="AE8:AE10"/>
    <mergeCell ref="AF8:AF10"/>
    <mergeCell ref="AG6:AH7"/>
    <mergeCell ref="J8:J10"/>
    <mergeCell ref="K8:K10"/>
    <mergeCell ref="L8:L10"/>
    <mergeCell ref="M8:M10"/>
    <mergeCell ref="N8:N10"/>
    <mergeCell ref="A162:AN162"/>
    <mergeCell ref="A12:B12"/>
    <mergeCell ref="A14:B14"/>
    <mergeCell ref="B5:B10"/>
    <mergeCell ref="C5:C7"/>
    <mergeCell ref="D5:D7"/>
    <mergeCell ref="H8:H10"/>
    <mergeCell ref="G5:G7"/>
    <mergeCell ref="N7:O7"/>
    <mergeCell ref="P7:Q7"/>
    <mergeCell ref="R7:S7"/>
    <mergeCell ref="O8:O10"/>
    <mergeCell ref="AN5:AN7"/>
    <mergeCell ref="T6:U7"/>
    <mergeCell ref="Y6:Z7"/>
    <mergeCell ref="AI6:AI7"/>
    <mergeCell ref="AM5:AM7"/>
    <mergeCell ref="J7:K7"/>
    <mergeCell ref="L7:M7"/>
    <mergeCell ref="AJ6:AJ7"/>
    <mergeCell ref="AK6:AK7"/>
    <mergeCell ref="AL6:AL7"/>
    <mergeCell ref="AC8:AC10"/>
    <mergeCell ref="AC6:AD7"/>
    <mergeCell ref="A199:B199"/>
    <mergeCell ref="A204:B204"/>
    <mergeCell ref="A170:B170"/>
    <mergeCell ref="A185:B185"/>
    <mergeCell ref="A171:AN171"/>
    <mergeCell ref="A186:AN186"/>
    <mergeCell ref="A191:AN191"/>
    <mergeCell ref="A200:AN200"/>
    <mergeCell ref="A231:B231"/>
    <mergeCell ref="A190:B190"/>
    <mergeCell ref="A235:B235"/>
    <mergeCell ref="A238:B238"/>
    <mergeCell ref="A210:B210"/>
    <mergeCell ref="A227:B227"/>
    <mergeCell ref="A205:AN205"/>
    <mergeCell ref="A228:AN228"/>
    <mergeCell ref="A232:AL232"/>
    <mergeCell ref="A236:AL236"/>
    <mergeCell ref="A211:AL211"/>
    <mergeCell ref="A602:B602"/>
    <mergeCell ref="A585:B585"/>
    <mergeCell ref="A588:B588"/>
    <mergeCell ref="A568:B568"/>
    <mergeCell ref="A571:B571"/>
    <mergeCell ref="A574:B574"/>
    <mergeCell ref="A558:B558"/>
    <mergeCell ref="A564:B564"/>
    <mergeCell ref="A358:AL358"/>
    <mergeCell ref="A547:B547"/>
    <mergeCell ref="A550:B550"/>
    <mergeCell ref="A554:B554"/>
    <mergeCell ref="A528:B528"/>
    <mergeCell ref="A532:B532"/>
    <mergeCell ref="A503:B503"/>
    <mergeCell ref="A517:B517"/>
    <mergeCell ref="A522:B522"/>
    <mergeCell ref="A359:B359"/>
    <mergeCell ref="A494:B494"/>
    <mergeCell ref="A495:AL495"/>
    <mergeCell ref="A504:AL504"/>
    <mergeCell ref="A518:AL518"/>
    <mergeCell ref="A548:AL548"/>
    <mergeCell ref="A533:AL533"/>
    <mergeCell ref="A625:AL625"/>
    <mergeCell ref="A617:B617"/>
    <mergeCell ref="A620:B620"/>
    <mergeCell ref="A624:B624"/>
    <mergeCell ref="A605:B605"/>
    <mergeCell ref="A613:B613"/>
    <mergeCell ref="A603:AL603"/>
    <mergeCell ref="A621:AL621"/>
    <mergeCell ref="A618:AL618"/>
    <mergeCell ref="A614:AL614"/>
    <mergeCell ref="A606:AL606"/>
    <mergeCell ref="A644:AL644"/>
    <mergeCell ref="A636:B636"/>
    <mergeCell ref="A640:B640"/>
    <mergeCell ref="A643:B643"/>
    <mergeCell ref="A629:B629"/>
    <mergeCell ref="A632:B632"/>
    <mergeCell ref="A641:AL641"/>
    <mergeCell ref="A637:AL637"/>
    <mergeCell ref="A633:AL633"/>
    <mergeCell ref="A630:AL630"/>
    <mergeCell ref="A656:B656"/>
    <mergeCell ref="A659:B659"/>
    <mergeCell ref="A663:B663"/>
    <mergeCell ref="A650:B650"/>
    <mergeCell ref="A653:B653"/>
    <mergeCell ref="A660:AL660"/>
    <mergeCell ref="A654:AL654"/>
    <mergeCell ref="A657:AL657"/>
    <mergeCell ref="A651:AL651"/>
    <mergeCell ref="A679:B679"/>
    <mergeCell ref="A689:B689"/>
    <mergeCell ref="A692:B692"/>
    <mergeCell ref="A670:B670"/>
    <mergeCell ref="A676:B676"/>
    <mergeCell ref="A690:AL690"/>
    <mergeCell ref="A680:AL680"/>
    <mergeCell ref="A677:AL677"/>
    <mergeCell ref="A664:AL664"/>
    <mergeCell ref="A671:AL671"/>
    <mergeCell ref="A672:B672"/>
    <mergeCell ref="A565:AL565"/>
    <mergeCell ref="A595:AL595"/>
    <mergeCell ref="A592:AL592"/>
    <mergeCell ref="A589:AL589"/>
    <mergeCell ref="A586:AL586"/>
    <mergeCell ref="A575:AL575"/>
    <mergeCell ref="A572:AL572"/>
    <mergeCell ref="A569:AL569"/>
    <mergeCell ref="A591:B591"/>
    <mergeCell ref="A594:B594"/>
    <mergeCell ref="A325:B325"/>
    <mergeCell ref="A310:B310"/>
    <mergeCell ref="A314:B314"/>
    <mergeCell ref="A315:AL315"/>
    <mergeCell ref="A311:AL311"/>
    <mergeCell ref="A323:AL323"/>
    <mergeCell ref="A320:AL320"/>
    <mergeCell ref="A559:AL559"/>
    <mergeCell ref="A555:AK555"/>
    <mergeCell ref="A551:AL551"/>
    <mergeCell ref="A342:B342"/>
    <mergeCell ref="A345:B345"/>
    <mergeCell ref="A357:B357"/>
    <mergeCell ref="A328:B328"/>
    <mergeCell ref="A333:B333"/>
    <mergeCell ref="A326:AL326"/>
    <mergeCell ref="A329:AL329"/>
    <mergeCell ref="A346:AL346"/>
    <mergeCell ref="A343:AL343"/>
    <mergeCell ref="A334:AL334"/>
    <mergeCell ref="A360:AL360"/>
    <mergeCell ref="A523:AL523"/>
    <mergeCell ref="A529:AL529"/>
    <mergeCell ref="A322:B322"/>
    <mergeCell ref="A292:AL292"/>
    <mergeCell ref="A295:AL295"/>
    <mergeCell ref="A300:AL300"/>
    <mergeCell ref="A303:AL303"/>
    <mergeCell ref="A275:B275"/>
    <mergeCell ref="A283:B283"/>
    <mergeCell ref="A288:B288"/>
    <mergeCell ref="A276:AL276"/>
    <mergeCell ref="A284:AL284"/>
    <mergeCell ref="G3:AI3"/>
    <mergeCell ref="A307:AL307"/>
    <mergeCell ref="A299:B299"/>
    <mergeCell ref="A302:B302"/>
    <mergeCell ref="A306:B306"/>
    <mergeCell ref="A291:B291"/>
    <mergeCell ref="A294:B294"/>
    <mergeCell ref="A319:B319"/>
    <mergeCell ref="A266:B266"/>
    <mergeCell ref="A272:B272"/>
    <mergeCell ref="A264:AL264"/>
    <mergeCell ref="A267:AL267"/>
    <mergeCell ref="A273:AL273"/>
    <mergeCell ref="A247:B247"/>
    <mergeCell ref="A260:B260"/>
    <mergeCell ref="A263:B263"/>
    <mergeCell ref="A241:B241"/>
    <mergeCell ref="A244:B244"/>
    <mergeCell ref="A239:AL239"/>
    <mergeCell ref="A242:AL242"/>
    <mergeCell ref="A245:AL245"/>
    <mergeCell ref="A248:AL248"/>
    <mergeCell ref="A261:AL261"/>
    <mergeCell ref="A289:AL289"/>
  </mergeCells>
  <pageMargins left="0.39370078740157483" right="0.19685039370078741" top="0.43307086614173229" bottom="0.31496062992125984" header="0.19685039370078741" footer="0.15748031496062992"/>
  <pageSetup scale="60" firstPageNumber="9" orientation="landscape" useFirstPageNumber="1" r:id="rId1"/>
  <headerFooter alignWithMargins="0">
    <oddFooter>&amp;C&amp;"Arial Narrow,обычный"&amp;7&amp;P</oddFooter>
  </headerFooter>
  <ignoredErrors>
    <ignoredError sqref="AJ62:AK62 AJ80:AK80 AJ121:AK121 AJ130:AK130 AJ132:AK132 AJ142:AK142 AJ154:AK154 X138 AI148 AJ174:AK174 G298 AJ383:AK383 AJ484:AK484 M561 AJ164:AK16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view="pageBreakPreview" zoomScaleSheetLayoutView="100" workbookViewId="0">
      <selection sqref="A1:J87"/>
    </sheetView>
  </sheetViews>
  <sheetFormatPr defaultRowHeight="12.75"/>
  <cols>
    <col min="1" max="1" width="7" customWidth="1"/>
    <col min="2" max="2" width="63.83203125" customWidth="1"/>
    <col min="3" max="3" width="19.83203125" customWidth="1"/>
    <col min="4" max="4" width="24" style="264" customWidth="1"/>
    <col min="5" max="5" width="14.6640625" style="264" customWidth="1"/>
    <col min="6" max="6" width="17.83203125" customWidth="1"/>
    <col min="7" max="7" width="11.83203125" customWidth="1"/>
  </cols>
  <sheetData>
    <row r="1" spans="1:10" ht="53.25" customHeight="1">
      <c r="A1" s="447"/>
      <c r="B1" s="447"/>
      <c r="C1" s="447"/>
      <c r="D1" s="448"/>
      <c r="E1" s="665" t="s">
        <v>1171</v>
      </c>
      <c r="F1" s="665"/>
      <c r="G1" s="449"/>
      <c r="H1" s="449"/>
      <c r="I1" s="447"/>
      <c r="J1" s="447"/>
    </row>
    <row r="2" spans="1:10" ht="92.25" customHeight="1">
      <c r="A2" s="447"/>
      <c r="B2" s="447"/>
      <c r="C2" s="672"/>
      <c r="D2" s="672"/>
      <c r="E2" s="672"/>
      <c r="F2" s="672"/>
      <c r="G2" s="449"/>
      <c r="H2" s="449"/>
      <c r="I2" s="447"/>
      <c r="J2" s="447"/>
    </row>
    <row r="3" spans="1:10" s="19" customFormat="1" ht="31.5" customHeight="1">
      <c r="A3" s="450"/>
      <c r="B3" s="671" t="s">
        <v>1157</v>
      </c>
      <c r="C3" s="671"/>
      <c r="D3" s="671"/>
      <c r="E3" s="671"/>
      <c r="F3" s="668"/>
      <c r="G3" s="668"/>
      <c r="H3" s="668"/>
      <c r="I3" s="668"/>
      <c r="J3" s="668"/>
    </row>
    <row r="4" spans="1:10">
      <c r="A4" s="585" t="s">
        <v>1030</v>
      </c>
      <c r="B4" s="585" t="s">
        <v>1121</v>
      </c>
      <c r="C4" s="593" t="s">
        <v>66</v>
      </c>
      <c r="D4" s="669" t="s">
        <v>381</v>
      </c>
      <c r="E4" s="669" t="s">
        <v>100</v>
      </c>
      <c r="F4" s="585" t="s">
        <v>67</v>
      </c>
      <c r="G4" s="447"/>
      <c r="H4" s="447"/>
      <c r="I4" s="447"/>
      <c r="J4" s="447"/>
    </row>
    <row r="5" spans="1:10" ht="40.5" customHeight="1">
      <c r="A5" s="591"/>
      <c r="B5" s="591"/>
      <c r="C5" s="594"/>
      <c r="D5" s="670"/>
      <c r="E5" s="670"/>
      <c r="F5" s="586"/>
      <c r="G5" s="447"/>
      <c r="H5" s="447"/>
      <c r="I5" s="447"/>
      <c r="J5" s="447"/>
    </row>
    <row r="6" spans="1:10">
      <c r="A6" s="592"/>
      <c r="B6" s="592"/>
      <c r="C6" s="464" t="s">
        <v>68</v>
      </c>
      <c r="D6" s="477" t="s">
        <v>69</v>
      </c>
      <c r="E6" s="477" t="s">
        <v>98</v>
      </c>
      <c r="F6" s="463" t="s">
        <v>70</v>
      </c>
      <c r="G6" s="447"/>
      <c r="H6" s="447"/>
      <c r="I6" s="447"/>
      <c r="J6" s="447"/>
    </row>
    <row r="7" spans="1:10">
      <c r="A7" s="463">
        <v>1</v>
      </c>
      <c r="B7" s="463">
        <v>2</v>
      </c>
      <c r="C7" s="488">
        <v>3</v>
      </c>
      <c r="D7" s="477">
        <v>4</v>
      </c>
      <c r="E7" s="477">
        <v>5</v>
      </c>
      <c r="F7" s="463">
        <v>6</v>
      </c>
      <c r="G7" s="447"/>
      <c r="H7" s="447"/>
      <c r="I7" s="447"/>
      <c r="J7" s="447"/>
    </row>
    <row r="8" spans="1:10" ht="31.5" customHeight="1">
      <c r="A8" s="587" t="s">
        <v>38</v>
      </c>
      <c r="B8" s="589"/>
      <c r="C8" s="489">
        <f>C44+C82</f>
        <v>1663.3999999999999</v>
      </c>
      <c r="D8" s="490">
        <f>D9+D46</f>
        <v>82</v>
      </c>
      <c r="E8" s="477">
        <v>4</v>
      </c>
      <c r="F8" s="461">
        <f>F9+F46</f>
        <v>4512262.03</v>
      </c>
      <c r="G8" s="447"/>
      <c r="H8" s="447"/>
      <c r="I8" s="447"/>
      <c r="J8" s="447"/>
    </row>
    <row r="9" spans="1:10">
      <c r="A9" s="587" t="s">
        <v>1134</v>
      </c>
      <c r="B9" s="589"/>
      <c r="C9" s="494">
        <f>'Приложение 1 КСП 2018-2019 гг'!I308</f>
        <v>3080.92</v>
      </c>
      <c r="D9" s="490">
        <v>23</v>
      </c>
      <c r="E9" s="477">
        <v>1</v>
      </c>
      <c r="F9" s="494">
        <v>1194178.03</v>
      </c>
      <c r="G9" s="447"/>
      <c r="H9" s="447"/>
      <c r="I9" s="447"/>
      <c r="J9" s="447"/>
    </row>
    <row r="10" spans="1:10" hidden="1">
      <c r="A10" s="466">
        <v>1</v>
      </c>
      <c r="B10" s="491" t="s">
        <v>1032</v>
      </c>
      <c r="C10" s="489">
        <f>'Приложение 1 КСП 2018-2019 гг'!I159</f>
        <v>590887.05999999982</v>
      </c>
      <c r="D10" s="490">
        <f>'Приложение 1 КСП 2018-2019 гг'!K159</f>
        <v>19621</v>
      </c>
      <c r="E10" s="477">
        <v>145</v>
      </c>
      <c r="F10" s="461">
        <f>'Приложение 1 КСП 2018-2019 гг'!L159</f>
        <v>526871774.15714985</v>
      </c>
      <c r="G10" s="447"/>
      <c r="H10" s="447"/>
      <c r="I10" s="447"/>
      <c r="J10" s="447"/>
    </row>
    <row r="11" spans="1:10" hidden="1">
      <c r="A11" s="466">
        <v>2</v>
      </c>
      <c r="B11" s="491" t="s">
        <v>219</v>
      </c>
      <c r="C11" s="489">
        <f>'Приложение 1 КСП 2018-2019 гг'!I168</f>
        <v>22376.699999999997</v>
      </c>
      <c r="D11" s="490">
        <f>'Приложение 1 КСП 2018-2019 гг'!K168</f>
        <v>825</v>
      </c>
      <c r="E11" s="477">
        <v>7</v>
      </c>
      <c r="F11" s="461">
        <f>'Приложение 1 КСП 2018-2019 гг'!L168</f>
        <v>23574143.359999999</v>
      </c>
      <c r="G11" s="447"/>
      <c r="H11" s="447"/>
      <c r="I11" s="447"/>
      <c r="J11" s="447"/>
    </row>
    <row r="12" spans="1:10" hidden="1">
      <c r="A12" s="466">
        <v>3</v>
      </c>
      <c r="B12" s="491" t="s">
        <v>229</v>
      </c>
      <c r="C12" s="461">
        <f>'Приложение 1 КСП 2018-2019 гг'!I183</f>
        <v>37695.800000000003</v>
      </c>
      <c r="D12" s="490">
        <f>'Приложение 1 КСП 2018-2019 гг'!K183</f>
        <v>1004</v>
      </c>
      <c r="E12" s="477">
        <v>13</v>
      </c>
      <c r="F12" s="461">
        <f>'Приложение 1 КСП 2018-2019 гг'!L183</f>
        <v>35004222.519999996</v>
      </c>
      <c r="G12" s="447"/>
      <c r="H12" s="447"/>
      <c r="I12" s="447"/>
      <c r="J12" s="447"/>
    </row>
    <row r="13" spans="1:10" hidden="1">
      <c r="A13" s="466">
        <v>4</v>
      </c>
      <c r="B13" s="491" t="s">
        <v>1036</v>
      </c>
      <c r="C13" s="461">
        <f>'Приложение 1 КСП 2018-2019 гг'!I188</f>
        <v>6134.9</v>
      </c>
      <c r="D13" s="490">
        <f>'Приложение 1 КСП 2018-2019 гг'!K188</f>
        <v>280</v>
      </c>
      <c r="E13" s="477">
        <v>3</v>
      </c>
      <c r="F13" s="461">
        <f>'Приложение 1 КСП 2018-2019 гг'!L188</f>
        <v>7391651.8199999994</v>
      </c>
      <c r="G13" s="447"/>
      <c r="H13" s="447"/>
      <c r="I13" s="447"/>
      <c r="J13" s="447"/>
    </row>
    <row r="14" spans="1:10" hidden="1">
      <c r="A14" s="466">
        <v>5</v>
      </c>
      <c r="B14" s="491" t="s">
        <v>1033</v>
      </c>
      <c r="C14" s="461">
        <f>'Приложение 1 КСП 2018-2019 гг'!I197</f>
        <v>8274.9000000000015</v>
      </c>
      <c r="D14" s="490">
        <f>'Приложение 1 КСП 2018-2019 гг'!K197</f>
        <v>324</v>
      </c>
      <c r="E14" s="477">
        <v>7</v>
      </c>
      <c r="F14" s="461">
        <f>'Приложение 1 КСП 2018-2019 гг'!L197</f>
        <v>15188797.190000001</v>
      </c>
      <c r="G14" s="447"/>
      <c r="H14" s="447"/>
      <c r="I14" s="447"/>
      <c r="J14" s="447"/>
    </row>
    <row r="15" spans="1:10" hidden="1">
      <c r="A15" s="466">
        <v>6</v>
      </c>
      <c r="B15" s="491" t="s">
        <v>256</v>
      </c>
      <c r="C15" s="461">
        <f>'Приложение 1 КСП 2018-2019 гг'!I202</f>
        <v>6889.5</v>
      </c>
      <c r="D15" s="490">
        <f>'Приложение 1 КСП 2018-2019 гг'!K202</f>
        <v>143</v>
      </c>
      <c r="E15" s="477">
        <v>3</v>
      </c>
      <c r="F15" s="461">
        <f>'Приложение 1 КСП 2018-2019 гг'!L202</f>
        <v>8660065.8500000015</v>
      </c>
      <c r="G15" s="447"/>
      <c r="H15" s="447"/>
      <c r="I15" s="447"/>
      <c r="J15" s="447"/>
    </row>
    <row r="16" spans="1:10" ht="25.5" hidden="1">
      <c r="A16" s="466">
        <v>7</v>
      </c>
      <c r="B16" s="465" t="s">
        <v>261</v>
      </c>
      <c r="C16" s="461">
        <f>'Приложение 1 КСП 2018-2019 гг'!I208</f>
        <v>2482.71</v>
      </c>
      <c r="D16" s="490">
        <f>'Приложение 1 КСП 2018-2019 гг'!K208</f>
        <v>234</v>
      </c>
      <c r="E16" s="477">
        <v>4</v>
      </c>
      <c r="F16" s="461">
        <f>'Приложение 1 КСП 2018-2019 гг'!L208</f>
        <v>7062628.0900000008</v>
      </c>
      <c r="G16" s="447"/>
      <c r="H16" s="447"/>
      <c r="I16" s="447"/>
      <c r="J16" s="447"/>
    </row>
    <row r="17" spans="1:10" ht="25.5" hidden="1">
      <c r="A17" s="466">
        <v>8</v>
      </c>
      <c r="B17" s="465" t="s">
        <v>391</v>
      </c>
      <c r="C17" s="461">
        <f>'Приложение 1 КСП 2018-2019 гг'!I225</f>
        <v>18377.260000000002</v>
      </c>
      <c r="D17" s="490">
        <f>'Приложение 1 КСП 2018-2019 гг'!K225</f>
        <v>721</v>
      </c>
      <c r="E17" s="477">
        <v>15</v>
      </c>
      <c r="F17" s="461">
        <f>'Приложение 1 КСП 2018-2019 гг'!L225</f>
        <v>25733547.300000004</v>
      </c>
      <c r="G17" s="447"/>
      <c r="H17" s="447"/>
      <c r="I17" s="447"/>
      <c r="J17" s="447"/>
    </row>
    <row r="18" spans="1:10" ht="25.5" hidden="1">
      <c r="A18" s="466">
        <v>9</v>
      </c>
      <c r="B18" s="465" t="s">
        <v>441</v>
      </c>
      <c r="C18" s="461">
        <f>'Приложение 1 КСП 2018-2019 гг'!I229</f>
        <v>1160.4000000000001</v>
      </c>
      <c r="D18" s="490">
        <f>'Приложение 1 КСП 2018-2019 гг'!K229</f>
        <v>23</v>
      </c>
      <c r="E18" s="477">
        <v>2</v>
      </c>
      <c r="F18" s="461">
        <f>'Приложение 1 КСП 2018-2019 гг'!L229</f>
        <v>2096425.2</v>
      </c>
      <c r="G18" s="447"/>
      <c r="H18" s="447"/>
      <c r="I18" s="447"/>
      <c r="J18" s="447"/>
    </row>
    <row r="19" spans="1:10" ht="25.5" hidden="1">
      <c r="A19" s="466">
        <v>10</v>
      </c>
      <c r="B19" s="465" t="s">
        <v>393</v>
      </c>
      <c r="C19" s="461">
        <f>'Приложение 1 КСП 2018-2019 гг'!I233</f>
        <v>2815.6</v>
      </c>
      <c r="D19" s="490">
        <f>'Приложение 1 КСП 2018-2019 гг'!K233</f>
        <v>47</v>
      </c>
      <c r="E19" s="477">
        <v>2</v>
      </c>
      <c r="F19" s="461">
        <f>'Приложение 1 КСП 2018-2019 гг'!L233</f>
        <v>5908124.6999999993</v>
      </c>
      <c r="G19" s="447"/>
      <c r="H19" s="447"/>
      <c r="I19" s="447"/>
      <c r="J19" s="447"/>
    </row>
    <row r="20" spans="1:10" ht="25.5" hidden="1">
      <c r="A20" s="466">
        <v>11</v>
      </c>
      <c r="B20" s="465" t="s">
        <v>438</v>
      </c>
      <c r="C20" s="461">
        <f>'Приложение 1 КСП 2018-2019 гг'!I236</f>
        <v>2049.8000000000002</v>
      </c>
      <c r="D20" s="490">
        <f>'Приложение 1 КСП 2018-2019 гг'!K236</f>
        <v>18</v>
      </c>
      <c r="E20" s="477">
        <v>1</v>
      </c>
      <c r="F20" s="461">
        <f>'Приложение 1 КСП 2018-2019 гг'!L236</f>
        <v>2911295.58</v>
      </c>
      <c r="G20" s="447"/>
      <c r="H20" s="447"/>
      <c r="I20" s="447"/>
      <c r="J20" s="447"/>
    </row>
    <row r="21" spans="1:10" ht="25.5" hidden="1">
      <c r="A21" s="466">
        <v>12</v>
      </c>
      <c r="B21" s="465" t="s">
        <v>431</v>
      </c>
      <c r="C21" s="461">
        <f>'Приложение 1 КСП 2018-2019 гг'!I239</f>
        <v>531.5</v>
      </c>
      <c r="D21" s="490">
        <f>'Приложение 1 КСП 2018-2019 гг'!K239</f>
        <v>15</v>
      </c>
      <c r="E21" s="477">
        <v>1</v>
      </c>
      <c r="F21" s="461">
        <f>'Приложение 1 КСП 2018-2019 гг'!L239</f>
        <v>1777682.4</v>
      </c>
      <c r="G21" s="447"/>
      <c r="H21" s="447"/>
      <c r="I21" s="447"/>
      <c r="J21" s="447"/>
    </row>
    <row r="22" spans="1:10" ht="25.5" hidden="1">
      <c r="A22" s="466">
        <v>13</v>
      </c>
      <c r="B22" s="465" t="s">
        <v>855</v>
      </c>
      <c r="C22" s="461">
        <f>'Приложение 1 КСП 2018-2019 гг'!I242</f>
        <v>674.2</v>
      </c>
      <c r="D22" s="490">
        <f>'Приложение 1 КСП 2018-2019 гг'!K242</f>
        <v>15</v>
      </c>
      <c r="E22" s="477">
        <v>1</v>
      </c>
      <c r="F22" s="461">
        <f>'Приложение 1 КСП 2018-2019 гг'!L242</f>
        <v>1269115.33</v>
      </c>
      <c r="G22" s="447"/>
      <c r="H22" s="447"/>
      <c r="I22" s="447"/>
      <c r="J22" s="447"/>
    </row>
    <row r="23" spans="1:10" ht="25.5" hidden="1">
      <c r="A23" s="466">
        <v>14</v>
      </c>
      <c r="B23" s="465" t="s">
        <v>405</v>
      </c>
      <c r="C23" s="461">
        <f>'Приложение 1 КСП 2018-2019 гг'!I245</f>
        <v>1279.2</v>
      </c>
      <c r="D23" s="490">
        <f>'Приложение 1 КСП 2018-2019 гг'!K245</f>
        <v>230</v>
      </c>
      <c r="E23" s="477">
        <v>1</v>
      </c>
      <c r="F23" s="461">
        <f>'Приложение 1 КСП 2018-2019 гг'!L245</f>
        <v>2465727.2000000002</v>
      </c>
      <c r="G23" s="447"/>
      <c r="H23" s="447"/>
      <c r="I23" s="447"/>
      <c r="J23" s="447"/>
    </row>
    <row r="24" spans="1:10" ht="25.5" hidden="1">
      <c r="A24" s="466">
        <v>15</v>
      </c>
      <c r="B24" s="465" t="s">
        <v>292</v>
      </c>
      <c r="C24" s="461">
        <f>'Приложение 1 КСП 2018-2019 гг'!I258</f>
        <v>33588.200000000004</v>
      </c>
      <c r="D24" s="490">
        <f>'Приложение 1 КСП 2018-2019 гг'!K258</f>
        <v>1660</v>
      </c>
      <c r="E24" s="477">
        <v>11</v>
      </c>
      <c r="F24" s="461">
        <f>'Приложение 1 КСП 2018-2019 гг'!L258</f>
        <v>35155476.710000001</v>
      </c>
      <c r="G24" s="447"/>
      <c r="H24" s="447"/>
      <c r="I24" s="447"/>
      <c r="J24" s="447"/>
    </row>
    <row r="25" spans="1:10" ht="25.5" hidden="1">
      <c r="A25" s="466">
        <v>16</v>
      </c>
      <c r="B25" s="465" t="s">
        <v>293</v>
      </c>
      <c r="C25" s="461">
        <f>'Приложение 1 КСП 2018-2019 гг'!I261</f>
        <v>3412.9</v>
      </c>
      <c r="D25" s="490">
        <f>'Приложение 1 КСП 2018-2019 гг'!K261</f>
        <v>17</v>
      </c>
      <c r="E25" s="477">
        <v>1</v>
      </c>
      <c r="F25" s="461">
        <f>'Приложение 1 КСП 2018-2019 гг'!L261</f>
        <v>2592756.94</v>
      </c>
      <c r="G25" s="447"/>
      <c r="H25" s="447"/>
      <c r="I25" s="447"/>
      <c r="J25" s="447"/>
    </row>
    <row r="26" spans="1:10" ht="25.5" hidden="1">
      <c r="A26" s="466">
        <v>17</v>
      </c>
      <c r="B26" s="465" t="s">
        <v>295</v>
      </c>
      <c r="C26" s="461">
        <f>'Приложение 1 КСП 2018-2019 гг'!I264</f>
        <v>4457.7</v>
      </c>
      <c r="D26" s="490">
        <f>'Приложение 1 КСП 2018-2019 гг'!K264</f>
        <v>128</v>
      </c>
      <c r="E26" s="477">
        <v>1</v>
      </c>
      <c r="F26" s="461">
        <f>'Приложение 1 КСП 2018-2019 гг'!L264</f>
        <v>2519358.13</v>
      </c>
      <c r="G26" s="447"/>
      <c r="H26" s="447"/>
      <c r="I26" s="447"/>
      <c r="J26" s="447"/>
    </row>
    <row r="27" spans="1:10" ht="25.5" hidden="1">
      <c r="A27" s="466">
        <v>18</v>
      </c>
      <c r="B27" s="465" t="s">
        <v>327</v>
      </c>
      <c r="C27" s="461">
        <f>'Приложение 1 КСП 2018-2019 гг'!I270</f>
        <v>23359.39</v>
      </c>
      <c r="D27" s="490">
        <f>'Приложение 1 КСП 2018-2019 гг'!K270</f>
        <v>602</v>
      </c>
      <c r="E27" s="477">
        <v>4</v>
      </c>
      <c r="F27" s="461">
        <f>'Приложение 1 КСП 2018-2019 гг'!L270</f>
        <v>17282099.399999999</v>
      </c>
      <c r="G27" s="447"/>
      <c r="H27" s="447"/>
      <c r="I27" s="447"/>
      <c r="J27" s="447"/>
    </row>
    <row r="28" spans="1:10" ht="25.5" hidden="1">
      <c r="A28" s="466">
        <v>19</v>
      </c>
      <c r="B28" s="465" t="s">
        <v>896</v>
      </c>
      <c r="C28" s="461">
        <f>'Приложение 1 КСП 2018-2019 гг'!I273</f>
        <v>535.29999999999995</v>
      </c>
      <c r="D28" s="490">
        <f>'Приложение 1 КСП 2018-2019 гг'!K273</f>
        <v>12</v>
      </c>
      <c r="E28" s="477">
        <v>1</v>
      </c>
      <c r="F28" s="461">
        <f>'Приложение 1 КСП 2018-2019 гг'!L273</f>
        <v>1514244.69</v>
      </c>
    </row>
    <row r="29" spans="1:10" ht="25.5" hidden="1">
      <c r="A29" s="466">
        <v>20</v>
      </c>
      <c r="B29" s="465" t="s">
        <v>423</v>
      </c>
      <c r="C29" s="461">
        <f>'Приложение 1 КСП 2018-2019 гг'!I281</f>
        <v>3288.44</v>
      </c>
      <c r="D29" s="490">
        <f>'Приложение 1 КСП 2018-2019 гг'!K281</f>
        <v>389</v>
      </c>
      <c r="E29" s="477">
        <v>6</v>
      </c>
      <c r="F29" s="461">
        <f>'Приложение 1 КСП 2018-2019 гг'!L281</f>
        <v>9483542.9600000009</v>
      </c>
    </row>
    <row r="30" spans="1:10" ht="25.5" hidden="1">
      <c r="A30" s="466">
        <v>21</v>
      </c>
      <c r="B30" s="465" t="s">
        <v>1035</v>
      </c>
      <c r="C30" s="461">
        <f>'Приложение 1 КСП 2018-2019 гг'!I286</f>
        <v>2197.6999999999998</v>
      </c>
      <c r="D30" s="490">
        <f>'Приложение 1 КСП 2018-2019 гг'!K286</f>
        <v>87</v>
      </c>
      <c r="E30" s="477">
        <v>3</v>
      </c>
      <c r="F30" s="461">
        <f>'Приложение 1 КСП 2018-2019 гг'!L286</f>
        <v>6256096.1200000001</v>
      </c>
    </row>
    <row r="31" spans="1:10" ht="25.5" hidden="1">
      <c r="A31" s="466">
        <v>22</v>
      </c>
      <c r="B31" s="465" t="s">
        <v>421</v>
      </c>
      <c r="C31" s="461">
        <f>'Приложение 1 КСП 2018-2019 гг'!I289</f>
        <v>390</v>
      </c>
      <c r="D31" s="490">
        <f>'Приложение 1 КСП 2018-2019 гг'!K289</f>
        <v>12</v>
      </c>
      <c r="E31" s="477">
        <v>1</v>
      </c>
      <c r="F31" s="461">
        <f>'Приложение 1 КСП 2018-2019 гг'!L289</f>
        <v>1293125.78</v>
      </c>
    </row>
    <row r="32" spans="1:10" ht="25.5" hidden="1">
      <c r="A32" s="466">
        <v>23</v>
      </c>
      <c r="B32" s="465" t="s">
        <v>349</v>
      </c>
      <c r="C32" s="461">
        <f>'Приложение 1 КСП 2018-2019 гг'!I292</f>
        <v>621.23</v>
      </c>
      <c r="D32" s="490">
        <f>'Приложение 1 КСП 2018-2019 гг'!K292</f>
        <v>19</v>
      </c>
      <c r="E32" s="477">
        <v>1</v>
      </c>
      <c r="F32" s="461">
        <f>'Приложение 1 КСП 2018-2019 гг'!L292</f>
        <v>1803470.32</v>
      </c>
    </row>
    <row r="33" spans="1:6" ht="25.5" hidden="1">
      <c r="A33" s="466">
        <v>24</v>
      </c>
      <c r="B33" s="465" t="s">
        <v>429</v>
      </c>
      <c r="C33" s="461">
        <f>'Приложение 1 КСП 2018-2019 гг'!I297</f>
        <v>3322.3</v>
      </c>
      <c r="D33" s="490">
        <f>'Приложение 1 КСП 2018-2019 гг'!K297</f>
        <v>106</v>
      </c>
      <c r="E33" s="477">
        <v>3</v>
      </c>
      <c r="F33" s="461">
        <f>'Приложение 1 КСП 2018-2019 гг'!L297</f>
        <v>792134</v>
      </c>
    </row>
    <row r="34" spans="1:6" ht="25.5" hidden="1">
      <c r="A34" s="466">
        <v>25</v>
      </c>
      <c r="B34" s="465" t="s">
        <v>929</v>
      </c>
      <c r="C34" s="461">
        <f>'Приложение 1 КСП 2018-2019 гг'!I300</f>
        <v>661.2</v>
      </c>
      <c r="D34" s="490">
        <f>'Приложение 1 КСП 2018-2019 гг'!K300</f>
        <v>24</v>
      </c>
      <c r="E34" s="477">
        <v>1</v>
      </c>
      <c r="F34" s="461">
        <f>'Приложение 1 КСП 2018-2019 гг'!L300</f>
        <v>1532009.95</v>
      </c>
    </row>
    <row r="35" spans="1:6" ht="25.5" hidden="1">
      <c r="A35" s="466">
        <v>26</v>
      </c>
      <c r="B35" s="465" t="s">
        <v>358</v>
      </c>
      <c r="C35" s="461">
        <f>'Приложение 1 КСП 2018-2019 гг'!I304</f>
        <v>4790.3399999999992</v>
      </c>
      <c r="D35" s="490">
        <f>'Приложение 1 КСП 2018-2019 гг'!K304</f>
        <v>172</v>
      </c>
      <c r="E35" s="477">
        <v>2</v>
      </c>
      <c r="F35" s="461">
        <f>'Приложение 1 КСП 2018-2019 гг'!L304</f>
        <v>4312212.8499999996</v>
      </c>
    </row>
    <row r="36" spans="1:6" ht="25.5" hidden="1">
      <c r="A36" s="466">
        <v>27</v>
      </c>
      <c r="B36" s="465" t="s">
        <v>2</v>
      </c>
      <c r="C36" s="461">
        <f>'Приложение 1 КСП 2018-2019 гг'!I308</f>
        <v>3080.92</v>
      </c>
      <c r="D36" s="490">
        <f>'Приложение 1 КСП 2018-2019 гг'!K308</f>
        <v>133</v>
      </c>
      <c r="E36" s="477">
        <v>2</v>
      </c>
      <c r="F36" s="461">
        <f>'Приложение 1 КСП 2018-2019 гг'!L308</f>
        <v>4529245.6100000003</v>
      </c>
    </row>
    <row r="37" spans="1:6" ht="25.5" hidden="1">
      <c r="A37" s="466">
        <v>28</v>
      </c>
      <c r="B37" s="465" t="s">
        <v>8</v>
      </c>
      <c r="C37" s="461">
        <f>'Приложение 1 КСП 2018-2019 гг'!I312</f>
        <v>2200.6</v>
      </c>
      <c r="D37" s="490">
        <f>'Приложение 1 КСП 2018-2019 гг'!K312</f>
        <v>58</v>
      </c>
      <c r="E37" s="477">
        <v>2</v>
      </c>
      <c r="F37" s="461">
        <f>'Приложение 1 КСП 2018-2019 гг'!L312</f>
        <v>4253401.57</v>
      </c>
    </row>
    <row r="38" spans="1:6" ht="25.5" hidden="1">
      <c r="A38" s="466">
        <v>29</v>
      </c>
      <c r="B38" s="465" t="s">
        <v>10</v>
      </c>
      <c r="C38" s="461">
        <f>'Приложение 1 КСП 2018-2019 гг'!I317</f>
        <v>1659.8</v>
      </c>
      <c r="D38" s="490">
        <f>'Приложение 1 КСП 2018-2019 гг'!K317</f>
        <v>71</v>
      </c>
      <c r="E38" s="477">
        <v>3</v>
      </c>
      <c r="F38" s="461">
        <f>'Приложение 1 КСП 2018-2019 гг'!L317</f>
        <v>5530836.9799999995</v>
      </c>
    </row>
    <row r="39" spans="1:6" ht="25.5" hidden="1">
      <c r="A39" s="466">
        <v>30</v>
      </c>
      <c r="B39" s="465" t="s">
        <v>1047</v>
      </c>
      <c r="C39" s="461">
        <f>'Приложение 1 КСП 2018-2019 гг'!I320</f>
        <v>934.9</v>
      </c>
      <c r="D39" s="490">
        <f>'Приложение 1 КСП 2018-2019 гг'!K320</f>
        <v>27</v>
      </c>
      <c r="E39" s="477">
        <v>1</v>
      </c>
      <c r="F39" s="461">
        <f>'Приложение 1 КСП 2018-2019 гг'!L320</f>
        <v>2636927.4700000002</v>
      </c>
    </row>
    <row r="40" spans="1:6" ht="25.5" hidden="1">
      <c r="A40" s="466">
        <v>31</v>
      </c>
      <c r="B40" s="465" t="s">
        <v>425</v>
      </c>
      <c r="C40" s="461">
        <f>'Приложение 1 КСП 2018-2019 гг'!I323</f>
        <v>996.3</v>
      </c>
      <c r="D40" s="490">
        <f>'Приложение 1 КСП 2018-2019 гг'!K323</f>
        <v>41</v>
      </c>
      <c r="E40" s="477">
        <v>1</v>
      </c>
      <c r="F40" s="461">
        <f>'Приложение 1 КСП 2018-2019 гг'!L323</f>
        <v>2454167.61</v>
      </c>
    </row>
    <row r="41" spans="1:6" ht="25.5" hidden="1">
      <c r="A41" s="466">
        <v>32</v>
      </c>
      <c r="B41" s="465" t="s">
        <v>1068</v>
      </c>
      <c r="C41" s="461">
        <f>'Приложение 1 КСП 2018-2019 гг'!I326</f>
        <v>311.3</v>
      </c>
      <c r="D41" s="490">
        <f>'Приложение 1 КСП 2018-2019 гг'!K326</f>
        <v>12</v>
      </c>
      <c r="E41" s="477">
        <v>1</v>
      </c>
      <c r="F41" s="461">
        <f>'Приложение 1 КСП 2018-2019 гг'!L326</f>
        <v>1646505.73</v>
      </c>
    </row>
    <row r="42" spans="1:6" ht="25.5" hidden="1">
      <c r="A42" s="466">
        <v>33</v>
      </c>
      <c r="B42" s="465" t="s">
        <v>28</v>
      </c>
      <c r="C42" s="461">
        <f>'Приложение 1 КСП 2018-2019 гг'!I331</f>
        <v>1745.2</v>
      </c>
      <c r="D42" s="490">
        <f>'Приложение 1 КСП 2018-2019 гг'!K331</f>
        <v>79</v>
      </c>
      <c r="E42" s="477">
        <v>3</v>
      </c>
      <c r="F42" s="461">
        <f>'Приложение 1 КСП 2018-2019 гг'!L331</f>
        <v>4920284.41</v>
      </c>
    </row>
    <row r="43" spans="1:6" ht="25.5" hidden="1">
      <c r="A43" s="466">
        <v>34</v>
      </c>
      <c r="B43" s="465" t="s">
        <v>34</v>
      </c>
      <c r="C43" s="461">
        <f>'Приложение 1 КСП 2018-2019 гг'!I340</f>
        <v>3001.02</v>
      </c>
      <c r="D43" s="490">
        <f>'Приложение 1 КСП 2018-2019 гг'!K340</f>
        <v>156</v>
      </c>
      <c r="E43" s="477">
        <v>7</v>
      </c>
      <c r="F43" s="461">
        <f>'Приложение 1 КСП 2018-2019 гг'!L340</f>
        <v>7875740.3499999996</v>
      </c>
    </row>
    <row r="44" spans="1:6" ht="25.5">
      <c r="A44" s="492">
        <v>35</v>
      </c>
      <c r="B44" s="493" t="s">
        <v>39</v>
      </c>
      <c r="C44" s="494">
        <f>'Приложение 1 КСП 2018-2019 гг'!I343</f>
        <v>412.31</v>
      </c>
      <c r="D44" s="495">
        <f>'Приложение 1 КСП 2018-2019 гг'!K343</f>
        <v>23</v>
      </c>
      <c r="E44" s="496">
        <v>1</v>
      </c>
      <c r="F44" s="494">
        <f>'Приложение 1 КСП 2018-2019 гг'!L343</f>
        <v>1194178.03</v>
      </c>
    </row>
    <row r="45" spans="1:6" ht="25.5" hidden="1">
      <c r="A45" s="492">
        <v>36</v>
      </c>
      <c r="B45" s="493" t="s">
        <v>44</v>
      </c>
      <c r="C45" s="494">
        <f>'Приложение 1 КСП 2018-2019 гг'!I355</f>
        <v>10865.14</v>
      </c>
      <c r="D45" s="495">
        <f>'Приложение 1 КСП 2018-2019 гг'!K355</f>
        <v>587</v>
      </c>
      <c r="E45" s="496">
        <v>10</v>
      </c>
      <c r="F45" s="494">
        <f>'Приложение 1 КСП 2018-2019 гг'!L355</f>
        <v>21428965.300000001</v>
      </c>
    </row>
    <row r="46" spans="1:6">
      <c r="A46" s="666" t="s">
        <v>1133</v>
      </c>
      <c r="B46" s="667"/>
      <c r="C46" s="494">
        <f>'Приложение 1 КСП 2018-2019 гг'!I637</f>
        <v>960.5</v>
      </c>
      <c r="D46" s="495">
        <v>59</v>
      </c>
      <c r="E46" s="496">
        <v>3</v>
      </c>
      <c r="F46" s="494">
        <v>3318084</v>
      </c>
    </row>
    <row r="47" spans="1:6" hidden="1">
      <c r="A47" s="492">
        <v>1</v>
      </c>
      <c r="B47" s="497" t="s">
        <v>1032</v>
      </c>
      <c r="C47" s="494">
        <f>'Приложение 1 КСП 2018-2019 гг'!I492</f>
        <v>599669.36999999988</v>
      </c>
      <c r="D47" s="495">
        <f>'Приложение 1 КСП 2018-2019 гг'!K492</f>
        <v>22792</v>
      </c>
      <c r="E47" s="496">
        <v>133</v>
      </c>
      <c r="F47" s="494">
        <f>'Приложение 1 КСП 2018-2019 гг'!L492</f>
        <v>523534984.18999994</v>
      </c>
    </row>
    <row r="48" spans="1:6" hidden="1">
      <c r="A48" s="492">
        <v>2</v>
      </c>
      <c r="B48" s="497" t="s">
        <v>219</v>
      </c>
      <c r="C48" s="494">
        <f>'Приложение 1 КСП 2018-2019 гг'!I501</f>
        <v>22672.400000000001</v>
      </c>
      <c r="D48" s="495">
        <f>'Приложение 1 КСП 2018-2019 гг'!K501</f>
        <v>994</v>
      </c>
      <c r="E48" s="496">
        <v>7</v>
      </c>
      <c r="F48" s="494">
        <f>'Приложение 1 КСП 2018-2019 гг'!L501</f>
        <v>26325416.399999999</v>
      </c>
    </row>
    <row r="49" spans="1:6" hidden="1">
      <c r="A49" s="492">
        <v>3</v>
      </c>
      <c r="B49" s="497" t="s">
        <v>229</v>
      </c>
      <c r="C49" s="494">
        <f>'Приложение 1 КСП 2018-2019 гг'!I515</f>
        <v>45485</v>
      </c>
      <c r="D49" s="495">
        <f>'Приложение 1 КСП 2018-2019 гг'!K515</f>
        <v>820</v>
      </c>
      <c r="E49" s="496">
        <v>12</v>
      </c>
      <c r="F49" s="494">
        <f>'Приложение 1 КСП 2018-2019 гг'!L515</f>
        <v>45220080</v>
      </c>
    </row>
    <row r="50" spans="1:6" hidden="1">
      <c r="A50" s="492">
        <v>4</v>
      </c>
      <c r="B50" s="497" t="s">
        <v>239</v>
      </c>
      <c r="C50" s="494">
        <f>'Приложение 1 КСП 2018-2019 гг'!I520</f>
        <v>8973.7000000000007</v>
      </c>
      <c r="D50" s="495">
        <f>'Приложение 1 КСП 2018-2019 гг'!K520</f>
        <v>821</v>
      </c>
      <c r="E50" s="496">
        <v>3</v>
      </c>
      <c r="F50" s="494">
        <f>'Приложение 1 КСП 2018-2019 гг'!L520</f>
        <v>7496176</v>
      </c>
    </row>
    <row r="51" spans="1:6" hidden="1">
      <c r="A51" s="492">
        <v>5</v>
      </c>
      <c r="B51" s="497" t="s">
        <v>1033</v>
      </c>
      <c r="C51" s="494">
        <f>'Приложение 1 КСП 2018-2019 гг'!I526</f>
        <v>3276.6000000000004</v>
      </c>
      <c r="D51" s="495">
        <f>'Приложение 1 КСП 2018-2019 гг'!K526</f>
        <v>122</v>
      </c>
      <c r="E51" s="496">
        <v>4</v>
      </c>
      <c r="F51" s="494">
        <f>'Приложение 1 КСП 2018-2019 гг'!L526</f>
        <v>7878024</v>
      </c>
    </row>
    <row r="52" spans="1:6" hidden="1">
      <c r="A52" s="492">
        <v>6</v>
      </c>
      <c r="B52" s="497" t="s">
        <v>256</v>
      </c>
      <c r="C52" s="494">
        <f>'Приложение 1 КСП 2018-2019 гг'!I530</f>
        <v>2732.45</v>
      </c>
      <c r="D52" s="495">
        <f>'Приложение 1 КСП 2018-2019 гг'!K530</f>
        <v>151</v>
      </c>
      <c r="E52" s="496">
        <v>2</v>
      </c>
      <c r="F52" s="494">
        <f>'Приложение 1 КСП 2018-2019 гг'!L530</f>
        <v>5181256.08</v>
      </c>
    </row>
    <row r="53" spans="1:6" ht="25.5" hidden="1">
      <c r="A53" s="492">
        <v>7</v>
      </c>
      <c r="B53" s="493" t="s">
        <v>391</v>
      </c>
      <c r="C53" s="494">
        <f>'Приложение 1 КСП 2018-2019 гг'!I545</f>
        <v>17309.900000000001</v>
      </c>
      <c r="D53" s="495">
        <f>'Приложение 1 КСП 2018-2019 гг'!K545</f>
        <v>720</v>
      </c>
      <c r="E53" s="496">
        <v>13</v>
      </c>
      <c r="F53" s="494">
        <f>'Приложение 1 КСП 2018-2019 гг'!L545</f>
        <v>25726012.629999995</v>
      </c>
    </row>
    <row r="54" spans="1:6" ht="25.5" hidden="1">
      <c r="A54" s="492">
        <v>8</v>
      </c>
      <c r="B54" s="493" t="s">
        <v>441</v>
      </c>
      <c r="C54" s="494">
        <f>'Приложение 1 КСП 2018-2019 гг'!I548</f>
        <v>1476.6</v>
      </c>
      <c r="D54" s="495">
        <f>'Приложение 1 КСП 2018-2019 гг'!K548</f>
        <v>7</v>
      </c>
      <c r="E54" s="496">
        <v>1</v>
      </c>
      <c r="F54" s="494">
        <f>'Приложение 1 КСП 2018-2019 гг'!L548</f>
        <v>2037420</v>
      </c>
    </row>
    <row r="55" spans="1:6" ht="25.5" hidden="1">
      <c r="A55" s="492">
        <v>9</v>
      </c>
      <c r="B55" s="493" t="s">
        <v>393</v>
      </c>
      <c r="C55" s="494">
        <f>'Приложение 1 КСП 2018-2019 гг'!I552</f>
        <v>1651.8</v>
      </c>
      <c r="D55" s="495">
        <f>'Приложение 1 КСП 2018-2019 гг'!K552</f>
        <v>16</v>
      </c>
      <c r="E55" s="496">
        <v>2</v>
      </c>
      <c r="F55" s="494">
        <f>'Приложение 1 КСП 2018-2019 гг'!L552</f>
        <v>2800560</v>
      </c>
    </row>
    <row r="56" spans="1:6" ht="25.5" hidden="1">
      <c r="A56" s="492">
        <v>10</v>
      </c>
      <c r="B56" s="493" t="s">
        <v>438</v>
      </c>
      <c r="C56" s="494">
        <f>'Приложение 1 КСП 2018-2019 гг'!I556</f>
        <v>3720.4</v>
      </c>
      <c r="D56" s="495">
        <f>'Приложение 1 КСП 2018-2019 гг'!K556</f>
        <v>32</v>
      </c>
      <c r="E56" s="496">
        <v>2</v>
      </c>
      <c r="F56" s="494">
        <f>'Приложение 1 КСП 2018-2019 гг'!L556</f>
        <v>1427127.98</v>
      </c>
    </row>
    <row r="57" spans="1:6" ht="25.5" hidden="1">
      <c r="A57" s="492">
        <v>11</v>
      </c>
      <c r="B57" s="493" t="s">
        <v>850</v>
      </c>
      <c r="C57" s="494">
        <f>'Приложение 1 КСП 2018-2019 гг'!I562</f>
        <v>2929.7799999999997</v>
      </c>
      <c r="D57" s="495">
        <f>'Приложение 1 КСП 2018-2019 гг'!K562</f>
        <v>92</v>
      </c>
      <c r="E57" s="496">
        <v>4</v>
      </c>
      <c r="F57" s="494">
        <f>'Приложение 1 КСП 2018-2019 гг'!L562</f>
        <v>1647013.44</v>
      </c>
    </row>
    <row r="58" spans="1:6" ht="25.5" hidden="1">
      <c r="A58" s="492">
        <v>12</v>
      </c>
      <c r="B58" s="493" t="s">
        <v>431</v>
      </c>
      <c r="C58" s="494">
        <f>'Приложение 1 КСП 2018-2019 гг'!I566</f>
        <v>1044.9000000000001</v>
      </c>
      <c r="D58" s="495">
        <f>'Приложение 1 КСП 2018-2019 гг'!K566</f>
        <v>40</v>
      </c>
      <c r="E58" s="496">
        <v>2</v>
      </c>
      <c r="F58" s="494">
        <f>'Приложение 1 КСП 2018-2019 гг'!L566</f>
        <v>3266340</v>
      </c>
    </row>
    <row r="59" spans="1:6" ht="25.5" hidden="1">
      <c r="A59" s="492">
        <v>13</v>
      </c>
      <c r="B59" s="493" t="s">
        <v>1070</v>
      </c>
      <c r="C59" s="494">
        <f>'Приложение 1 КСП 2018-2019 гг'!I569</f>
        <v>9951</v>
      </c>
      <c r="D59" s="495">
        <f>'Приложение 1 КСП 2018-2019 гг'!K569</f>
        <v>637</v>
      </c>
      <c r="E59" s="496">
        <v>1</v>
      </c>
      <c r="F59" s="494">
        <f>'Приложение 1 КСП 2018-2019 гг'!L569</f>
        <v>7967926.5999999996</v>
      </c>
    </row>
    <row r="60" spans="1:6" ht="25.5" hidden="1">
      <c r="A60" s="492">
        <v>14</v>
      </c>
      <c r="B60" s="493" t="s">
        <v>302</v>
      </c>
      <c r="C60" s="494">
        <f>'Приложение 1 КСП 2018-2019 гг'!I572</f>
        <v>613.1</v>
      </c>
      <c r="D60" s="495">
        <f>'Приложение 1 КСП 2018-2019 гг'!K572</f>
        <v>29</v>
      </c>
      <c r="E60" s="496">
        <v>1</v>
      </c>
      <c r="F60" s="494">
        <f>'Приложение 1 КСП 2018-2019 гг'!L572</f>
        <v>1734588.24</v>
      </c>
    </row>
    <row r="61" spans="1:6" ht="25.5" hidden="1">
      <c r="A61" s="492">
        <v>15</v>
      </c>
      <c r="B61" s="493" t="s">
        <v>292</v>
      </c>
      <c r="C61" s="494">
        <f>'Приложение 1 КСП 2018-2019 гг'!I583</f>
        <v>17196.300000000003</v>
      </c>
      <c r="D61" s="495">
        <f>'Приложение 1 КСП 2018-2019 гг'!K583</f>
        <v>639</v>
      </c>
      <c r="E61" s="496">
        <v>9</v>
      </c>
      <c r="F61" s="494">
        <f>'Приложение 1 КСП 2018-2019 гг'!L583</f>
        <v>21300778.720000003</v>
      </c>
    </row>
    <row r="62" spans="1:6" ht="25.5" hidden="1">
      <c r="A62" s="492">
        <v>16</v>
      </c>
      <c r="B62" s="493" t="s">
        <v>293</v>
      </c>
      <c r="C62" s="494">
        <f>'Приложение 1 КСП 2018-2019 гг'!I586</f>
        <v>380.2</v>
      </c>
      <c r="D62" s="495">
        <f>'Приложение 1 КСП 2018-2019 гг'!K586</f>
        <v>13</v>
      </c>
      <c r="E62" s="496">
        <v>1</v>
      </c>
      <c r="F62" s="494">
        <f>'Приложение 1 КСП 2018-2019 гг'!L586</f>
        <v>1188495</v>
      </c>
    </row>
    <row r="63" spans="1:6" ht="25.5" hidden="1">
      <c r="A63" s="492">
        <v>17</v>
      </c>
      <c r="B63" s="493" t="s">
        <v>295</v>
      </c>
      <c r="C63" s="494">
        <f>'Приложение 1 КСП 2018-2019 гг'!I589</f>
        <v>2570.4</v>
      </c>
      <c r="D63" s="495">
        <f>'Приложение 1 КСП 2018-2019 гг'!K589</f>
        <v>38</v>
      </c>
      <c r="E63" s="496">
        <v>1</v>
      </c>
      <c r="F63" s="494">
        <f>'Приложение 1 КСП 2018-2019 гг'!L589</f>
        <v>3568395.6</v>
      </c>
    </row>
    <row r="64" spans="1:6" ht="25.5" hidden="1">
      <c r="A64" s="492">
        <v>18</v>
      </c>
      <c r="B64" s="493" t="s">
        <v>893</v>
      </c>
      <c r="C64" s="494">
        <f>'Приложение 1 КСП 2018-2019 гг'!I592</f>
        <v>665.6</v>
      </c>
      <c r="D64" s="495">
        <f>'Приложение 1 КСП 2018-2019 гг'!K592</f>
        <v>29</v>
      </c>
      <c r="E64" s="496">
        <v>1</v>
      </c>
      <c r="F64" s="494">
        <f>'Приложение 1 КСП 2018-2019 гг'!L592</f>
        <v>1513512</v>
      </c>
    </row>
    <row r="65" spans="1:6" ht="25.5" hidden="1">
      <c r="A65" s="492">
        <v>19</v>
      </c>
      <c r="B65" s="493" t="s">
        <v>327</v>
      </c>
      <c r="C65" s="494">
        <f>'Приложение 1 КСП 2018-2019 гг'!I600</f>
        <v>26039.360000000001</v>
      </c>
      <c r="D65" s="495">
        <f>'Приложение 1 КСП 2018-2019 гг'!K600</f>
        <v>721</v>
      </c>
      <c r="E65" s="496">
        <v>6</v>
      </c>
      <c r="F65" s="494">
        <f>'Приложение 1 КСП 2018-2019 гг'!L600</f>
        <v>17133426</v>
      </c>
    </row>
    <row r="66" spans="1:6" ht="25.5" hidden="1">
      <c r="A66" s="492">
        <v>20</v>
      </c>
      <c r="B66" s="493" t="s">
        <v>401</v>
      </c>
      <c r="C66" s="494">
        <f>'Приложение 1 КСП 2018-2019 гг'!I603</f>
        <v>580.20000000000005</v>
      </c>
      <c r="D66" s="495">
        <f>'Приложение 1 КСП 2018-2019 гг'!K603</f>
        <v>40</v>
      </c>
      <c r="E66" s="496">
        <v>1</v>
      </c>
      <c r="F66" s="494">
        <f>'Приложение 1 КСП 2018-2019 гг'!L603</f>
        <v>1534533</v>
      </c>
    </row>
    <row r="67" spans="1:6" ht="25.5" hidden="1">
      <c r="A67" s="492">
        <v>21</v>
      </c>
      <c r="B67" s="493" t="s">
        <v>423</v>
      </c>
      <c r="C67" s="494">
        <f>'Приложение 1 КСП 2018-2019 гг'!I611</f>
        <v>9020.9</v>
      </c>
      <c r="D67" s="495">
        <f>'Приложение 1 КСП 2018-2019 гг'!K611</f>
        <v>512</v>
      </c>
      <c r="E67" s="496">
        <v>6</v>
      </c>
      <c r="F67" s="494">
        <f>'Приложение 1 КСП 2018-2019 гг'!L611</f>
        <v>11412850.68</v>
      </c>
    </row>
    <row r="68" spans="1:6" ht="25.5" hidden="1">
      <c r="A68" s="492">
        <v>22</v>
      </c>
      <c r="B68" s="493" t="s">
        <v>1035</v>
      </c>
      <c r="C68" s="494">
        <f>'Приложение 1 КСП 2018-2019 гг'!I615</f>
        <v>1984.6</v>
      </c>
      <c r="D68" s="495">
        <f>'Приложение 1 КСП 2018-2019 гг'!K615</f>
        <v>110</v>
      </c>
      <c r="E68" s="496">
        <v>2</v>
      </c>
      <c r="F68" s="494">
        <f>'Приложение 1 КСП 2018-2019 гг'!L615</f>
        <v>5907062.7000000002</v>
      </c>
    </row>
    <row r="69" spans="1:6" ht="25.5" hidden="1">
      <c r="A69" s="492">
        <v>23</v>
      </c>
      <c r="B69" s="493" t="s">
        <v>421</v>
      </c>
      <c r="C69" s="494">
        <f>'Приложение 1 КСП 2018-2019 гг'!I618</f>
        <v>647</v>
      </c>
      <c r="D69" s="495">
        <f>'Приложение 1 КСП 2018-2019 гг'!K618</f>
        <v>30</v>
      </c>
      <c r="E69" s="496">
        <v>1</v>
      </c>
      <c r="F69" s="494">
        <f>'Приложение 1 КСП 2018-2019 гг'!L618</f>
        <v>2003463</v>
      </c>
    </row>
    <row r="70" spans="1:6" ht="25.5" hidden="1">
      <c r="A70" s="492">
        <v>24</v>
      </c>
      <c r="B70" s="493" t="s">
        <v>349</v>
      </c>
      <c r="C70" s="494">
        <f>'Приложение 1 КСП 2018-2019 гг'!I622</f>
        <v>966.28</v>
      </c>
      <c r="D70" s="495">
        <f>'Приложение 1 КСП 2018-2019 гг'!K622</f>
        <v>27</v>
      </c>
      <c r="E70" s="496">
        <v>2</v>
      </c>
      <c r="F70" s="494">
        <f>'Приложение 1 КСП 2018-2019 гг'!L622</f>
        <v>2726262</v>
      </c>
    </row>
    <row r="71" spans="1:6" ht="25.5" hidden="1">
      <c r="A71" s="492">
        <v>25</v>
      </c>
      <c r="B71" s="493" t="s">
        <v>429</v>
      </c>
      <c r="C71" s="494">
        <f>'Приложение 1 КСП 2018-2019 гг'!I627</f>
        <v>3744.15</v>
      </c>
      <c r="D71" s="495">
        <f>'Приложение 1 КСП 2018-2019 гг'!K627</f>
        <v>119</v>
      </c>
      <c r="E71" s="496">
        <v>3</v>
      </c>
      <c r="F71" s="494">
        <f>'Приложение 1 КСП 2018-2019 гг'!L627</f>
        <v>2722145.07</v>
      </c>
    </row>
    <row r="72" spans="1:6" ht="25.5" hidden="1">
      <c r="A72" s="492">
        <v>26</v>
      </c>
      <c r="B72" s="493" t="s">
        <v>929</v>
      </c>
      <c r="C72" s="494">
        <f>'Приложение 1 КСП 2018-2019 гг'!I630</f>
        <v>535</v>
      </c>
      <c r="D72" s="495">
        <f>'Приложение 1 КСП 2018-2019 гг'!K630</f>
        <v>16</v>
      </c>
      <c r="E72" s="496">
        <v>1</v>
      </c>
      <c r="F72" s="494">
        <f>'Приложение 1 КСП 2018-2019 гг'!L630</f>
        <v>1203048</v>
      </c>
    </row>
    <row r="73" spans="1:6" ht="25.5" hidden="1">
      <c r="A73" s="492">
        <v>27</v>
      </c>
      <c r="B73" s="493" t="s">
        <v>358</v>
      </c>
      <c r="C73" s="494">
        <f>'Приложение 1 КСП 2018-2019 гг'!I634</f>
        <v>1962.76</v>
      </c>
      <c r="D73" s="495">
        <f>'Приложение 1 КСП 2018-2019 гг'!K634</f>
        <v>74</v>
      </c>
      <c r="E73" s="496">
        <v>2</v>
      </c>
      <c r="F73" s="494">
        <f>'Приложение 1 КСП 2018-2019 гг'!L634</f>
        <v>4676364</v>
      </c>
    </row>
    <row r="74" spans="1:6" ht="25.5" hidden="1">
      <c r="A74" s="492">
        <v>28</v>
      </c>
      <c r="B74" s="493" t="s">
        <v>427</v>
      </c>
      <c r="C74" s="494">
        <f>'Приложение 1 КСП 2018-2019 гг'!I638</f>
        <v>1353.9</v>
      </c>
      <c r="D74" s="495">
        <f>'Приложение 1 КСП 2018-2019 гг'!K638</f>
        <v>60</v>
      </c>
      <c r="E74" s="496">
        <v>2</v>
      </c>
      <c r="F74" s="494">
        <f>'Приложение 1 КСП 2018-2019 гг'!L638</f>
        <v>3005356.2</v>
      </c>
    </row>
    <row r="75" spans="1:6" ht="25.5" hidden="1">
      <c r="A75" s="492">
        <v>29</v>
      </c>
      <c r="B75" s="493" t="s">
        <v>2</v>
      </c>
      <c r="C75" s="494">
        <f>'Приложение 1 КСП 2018-2019 гг'!I641</f>
        <v>1144.96</v>
      </c>
      <c r="D75" s="495">
        <f>'Приложение 1 КСП 2018-2019 гг'!K641</f>
        <v>20</v>
      </c>
      <c r="E75" s="496">
        <v>1</v>
      </c>
      <c r="F75" s="494">
        <f>'Приложение 1 КСП 2018-2019 гг'!L641</f>
        <v>2858856</v>
      </c>
    </row>
    <row r="76" spans="1:6" ht="25.5" hidden="1">
      <c r="A76" s="492">
        <v>30</v>
      </c>
      <c r="B76" s="493" t="s">
        <v>10</v>
      </c>
      <c r="C76" s="494">
        <f>'Приложение 1 КСП 2018-2019 гг'!I648</f>
        <v>1562.1000000000001</v>
      </c>
      <c r="D76" s="495">
        <f>'Приложение 1 КСП 2018-2019 гг'!K648</f>
        <v>54</v>
      </c>
      <c r="E76" s="496">
        <v>5</v>
      </c>
      <c r="F76" s="494">
        <f>'Приложение 1 КСП 2018-2019 гг'!L648</f>
        <v>4168626</v>
      </c>
    </row>
    <row r="77" spans="1:6" ht="25.5" hidden="1">
      <c r="A77" s="492">
        <v>31</v>
      </c>
      <c r="B77" s="493" t="s">
        <v>388</v>
      </c>
      <c r="C77" s="494">
        <f>'Приложение 1 КСП 2018-2019 гг'!I651</f>
        <v>200</v>
      </c>
      <c r="D77" s="495">
        <f>'Приложение 1 КСП 2018-2019 гг'!K651</f>
        <v>10</v>
      </c>
      <c r="E77" s="496">
        <v>1</v>
      </c>
      <c r="F77" s="494">
        <f>'Приложение 1 КСП 2018-2019 гг'!L651</f>
        <v>581149.80000000005</v>
      </c>
    </row>
    <row r="78" spans="1:6" ht="25.5" hidden="1">
      <c r="A78" s="492">
        <v>32</v>
      </c>
      <c r="B78" s="493" t="s">
        <v>433</v>
      </c>
      <c r="C78" s="494">
        <f>'Приложение 1 КСП 2018-2019 гг'!I654</f>
        <v>907.5</v>
      </c>
      <c r="D78" s="495">
        <f>'Приложение 1 КСП 2018-2019 гг'!K654</f>
        <v>48</v>
      </c>
      <c r="E78" s="496">
        <v>1</v>
      </c>
      <c r="F78" s="494">
        <f>'Приложение 1 КСП 2018-2019 гг'!L654</f>
        <v>2133026.52</v>
      </c>
    </row>
    <row r="79" spans="1:6" ht="25.5" hidden="1">
      <c r="A79" s="492">
        <v>33</v>
      </c>
      <c r="B79" s="493" t="s">
        <v>425</v>
      </c>
      <c r="C79" s="494">
        <f>'Приложение 1 КСП 2018-2019 гг'!I657</f>
        <v>1571.55</v>
      </c>
      <c r="D79" s="495">
        <f>'Приложение 1 КСП 2018-2019 гг'!K657</f>
        <v>42</v>
      </c>
      <c r="E79" s="496">
        <v>1</v>
      </c>
      <c r="F79" s="494">
        <f>'Приложение 1 КСП 2018-2019 гг'!L657</f>
        <v>2988216</v>
      </c>
    </row>
    <row r="80" spans="1:6" ht="25.5" hidden="1">
      <c r="A80" s="492">
        <v>34</v>
      </c>
      <c r="B80" s="493" t="s">
        <v>28</v>
      </c>
      <c r="C80" s="494">
        <f>'Приложение 1 КСП 2018-2019 гг'!I661</f>
        <v>1535.9</v>
      </c>
      <c r="D80" s="495">
        <f>'Приложение 1 КСП 2018-2019 гг'!K661</f>
        <v>63</v>
      </c>
      <c r="E80" s="496">
        <v>2</v>
      </c>
      <c r="F80" s="494">
        <f>'Приложение 1 КСП 2018-2019 гг'!L661</f>
        <v>4136286</v>
      </c>
    </row>
    <row r="81" spans="1:6" ht="25.5" hidden="1">
      <c r="A81" s="492">
        <v>35</v>
      </c>
      <c r="B81" s="493" t="s">
        <v>34</v>
      </c>
      <c r="C81" s="494">
        <f>'Приложение 1 КСП 2018-2019 гг'!I668</f>
        <v>4140.1000000000004</v>
      </c>
      <c r="D81" s="495">
        <f>'Приложение 1 КСП 2018-2019 гг'!K668</f>
        <v>169</v>
      </c>
      <c r="E81" s="496">
        <v>5</v>
      </c>
      <c r="F81" s="494">
        <f>'Приложение 1 КСП 2018-2019 гг'!L668</f>
        <v>8823742</v>
      </c>
    </row>
    <row r="82" spans="1:6" ht="25.5">
      <c r="A82" s="492">
        <v>36</v>
      </c>
      <c r="B82" s="493" t="s">
        <v>39</v>
      </c>
      <c r="C82" s="494">
        <f>'Приложение 1 КСП 2018-2019 гг'!I674</f>
        <v>1251.0899999999999</v>
      </c>
      <c r="D82" s="495">
        <f>'Приложение 1 КСП 2018-2019 гг'!K674</f>
        <v>59</v>
      </c>
      <c r="E82" s="496">
        <v>3</v>
      </c>
      <c r="F82" s="494">
        <f>'Приложение 1 КСП 2018-2019 гг'!L674</f>
        <v>3318084</v>
      </c>
    </row>
    <row r="83" spans="1:6" hidden="1">
      <c r="A83" s="28">
        <v>37</v>
      </c>
      <c r="B83" s="254" t="s">
        <v>1062</v>
      </c>
      <c r="C83" s="255">
        <f>'Приложение 1 КСП 2018-2019 гг'!I677</f>
        <v>918</v>
      </c>
      <c r="D83" s="8">
        <f>'Приложение 1 КСП 2018-2019 гг'!K677</f>
        <v>25</v>
      </c>
      <c r="E83" s="156">
        <v>1</v>
      </c>
      <c r="F83" s="255">
        <f>'Приложение 1 КСП 2018-2019 гг'!L677</f>
        <v>2147096</v>
      </c>
    </row>
    <row r="84" spans="1:6" hidden="1">
      <c r="A84" s="28">
        <v>38</v>
      </c>
      <c r="B84" s="254" t="s">
        <v>44</v>
      </c>
      <c r="C84" s="255">
        <f>'Приложение 1 КСП 2018-2019 гг'!I687</f>
        <v>12065.599999999999</v>
      </c>
      <c r="D84" s="8">
        <f>'Приложение 1 КСП 2018-2019 гг'!K687</f>
        <v>458</v>
      </c>
      <c r="E84" s="156">
        <v>8</v>
      </c>
      <c r="F84" s="255">
        <f>'Приложение 1 КСП 2018-2019 гг'!L687</f>
        <v>13146210</v>
      </c>
    </row>
    <row r="85" spans="1:6" hidden="1">
      <c r="A85" s="28">
        <v>39</v>
      </c>
      <c r="B85" s="254" t="s">
        <v>1074</v>
      </c>
      <c r="C85" s="255">
        <f>'Приложение 1 КСП 2018-2019 гг'!I690</f>
        <v>615.1</v>
      </c>
      <c r="D85" s="8">
        <f>'Приложение 1 КСП 2018-2019 гг'!K690</f>
        <v>26</v>
      </c>
      <c r="E85" s="156">
        <v>1</v>
      </c>
      <c r="F85" s="255">
        <f>'Приложение 1 КСП 2018-2019 гг'!L690</f>
        <v>1422960</v>
      </c>
    </row>
  </sheetData>
  <mergeCells count="13">
    <mergeCell ref="E1:F1"/>
    <mergeCell ref="A46:B46"/>
    <mergeCell ref="A9:B9"/>
    <mergeCell ref="F4:F5"/>
    <mergeCell ref="F3:J3"/>
    <mergeCell ref="A4:A6"/>
    <mergeCell ref="B4:B6"/>
    <mergeCell ref="C4:C5"/>
    <mergeCell ref="D4:D5"/>
    <mergeCell ref="E4:E5"/>
    <mergeCell ref="A8:B8"/>
    <mergeCell ref="B3:E3"/>
    <mergeCell ref="C2:F2"/>
  </mergeCells>
  <pageMargins left="0.74803149606299213" right="0.19685039370078741" top="0.74803149606299213" bottom="0.31496062992125984" header="0.19685039370078741" footer="0.19685039370078741"/>
  <pageSetup scale="85" firstPageNumber="3" orientation="landscape" useFirstPageNumber="1" r:id="rId1"/>
  <headerFooter alignWithMargins="0">
    <oddFooter>&amp;C&amp;"Arial Narrow,обычный"&amp;7
&amp;P</oddFooter>
  </headerFooter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 КСП 2018-2019 гг</vt:lpstr>
      <vt:lpstr>Приложение 2 КСП 2018-2019 гг</vt:lpstr>
      <vt:lpstr>Приложение 3 КСП 2018-2019 гг</vt:lpstr>
      <vt:lpstr>'Приложение 1'!Область_печати</vt:lpstr>
      <vt:lpstr>'Приложение 1 КСП 2018-2019 гг'!Область_печати</vt:lpstr>
      <vt:lpstr>'Приложение 2'!Область_печати</vt:lpstr>
      <vt:lpstr>'Приложение 2 КСП 2018-2019 гг'!Область_печати</vt:lpstr>
      <vt:lpstr>'Приложение 3'!Область_печати</vt:lpstr>
      <vt:lpstr>'Приложение 3 КСП 2018-2019 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NOTARIAL</cp:lastModifiedBy>
  <cp:lastPrinted>2018-03-13T07:24:03Z</cp:lastPrinted>
  <dcterms:created xsi:type="dcterms:W3CDTF">2014-06-23T04:55:08Z</dcterms:created>
  <dcterms:modified xsi:type="dcterms:W3CDTF">2018-04-05T07:29:48Z</dcterms:modified>
</cp:coreProperties>
</file>